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hidePivotFieldList="1"/>
  <xr:revisionPtr revIDLastSave="0" documentId="13_ncr:1_{7C699551-B37D-4A3D-86DE-71D487B9C204}" xr6:coauthVersionLast="47" xr6:coauthVersionMax="47" xr10:uidLastSave="{00000000-0000-0000-0000-000000000000}"/>
  <bookViews>
    <workbookView xWindow="-120" yWindow="-120" windowWidth="51840" windowHeight="21240" tabRatio="873" xr2:uid="{00000000-000D-0000-FFFF-FFFF00000000}"/>
  </bookViews>
  <sheets>
    <sheet name="BASE BID" sheetId="26" r:id="rId1"/>
    <sheet name="Dashboard" sheetId="30" r:id="rId2"/>
    <sheet name="Data for Dashboard" sheetId="31" state="hidden" r:id="rId3"/>
    <sheet name="COST SUMMARY" sheetId="12" r:id="rId4"/>
    <sheet name="HOURLY RATES" sheetId="22" r:id="rId5"/>
    <sheet name="Data for Rough Cost" sheetId="32" state="hidden" r:id="rId6"/>
  </sheets>
  <definedNames>
    <definedName name="_xlnm._FilterDatabase" localSheetId="0" hidden="1">'BASE BID'!$Q$1:$Q$452</definedName>
    <definedName name="_xlnm._FilterDatabase" localSheetId="3" hidden="1">'COST SUMMARY'!#REF!</definedName>
    <definedName name="_xlnm._FilterDatabase" localSheetId="4" hidden="1">'HOURLY RATES'!$B$8:$D$104</definedName>
    <definedName name="Average">'Data for Rough Cost'!$D$111:$D$122</definedName>
    <definedName name="Average1">'Data for Rough Cost'!$DK$2:$DK$5</definedName>
    <definedName name="Average10">'Data for Rough Cost'!$DT$2:$DT$5</definedName>
    <definedName name="Average11">'Data for Rough Cost'!$DU$2:$DU$3</definedName>
    <definedName name="Average12">'Data for Rough Cost'!$DV$2:$DV$3</definedName>
    <definedName name="Average2">'Data for Rough Cost'!$DL$2:$DL$5</definedName>
    <definedName name="Average3">'Data for Rough Cost'!$DM$2:$DM$5</definedName>
    <definedName name="Average4">'Data for Rough Cost'!$DN$2:$DN$5</definedName>
    <definedName name="Average5">'Data for Rough Cost'!$DO$2:$DO$5</definedName>
    <definedName name="Average6">'Data for Rough Cost'!$DP$2:$DP$5</definedName>
    <definedName name="Average7">'Data for Rough Cost'!$DQ$2:$DQ$5</definedName>
    <definedName name="Average8">'Data for Rough Cost'!$DR$2:$DR$5</definedName>
    <definedName name="Average9">'Data for Rough Cost'!$DS$2:$DS$5</definedName>
    <definedName name="Categories">'Data for Rough Cost'!$A$2:$A$3</definedName>
    <definedName name="Commercial">'Data for Rough Cost'!$B$2</definedName>
    <definedName name="Custom">'Data for Rough Cost'!$D$123:$D$132</definedName>
    <definedName name="Custom1">'Data for Rough Cost'!$DW$2:$DW$5</definedName>
    <definedName name="Custom10">'Data for Rough Cost'!$EF$2:$EF$5</definedName>
    <definedName name="Custom2">'Data for Rough Cost'!$DX$2:$DX$5</definedName>
    <definedName name="Custom3">'Data for Rough Cost'!$DY$2:$DY$5</definedName>
    <definedName name="Custom4">'Data for Rough Cost'!$DZ$2:$DZ$5</definedName>
    <definedName name="Custom5">'Data for Rough Cost'!$EA$2:$EA$5</definedName>
    <definedName name="Custom6">'Data for Rough Cost'!$EB$2:$EB$5</definedName>
    <definedName name="Custom7">'Data for Rough Cost'!$EC$2:$EC$5</definedName>
    <definedName name="Custom8">'Data for Rough Cost'!$ED$2:$ED$5</definedName>
    <definedName name="Custom9">'Data for Rough Cost'!$EE$2:$EE$5</definedName>
    <definedName name="Default">'Data for Rough Cost'!$D$2:$D$102</definedName>
    <definedName name="Default1">'Data for Rough Cost'!$F$2:$F$7</definedName>
    <definedName name="Default10">'Data for Rough Cost'!$O$2:$O$7</definedName>
    <definedName name="Default100">'Data for Rough Cost'!$DA$2:$DA$7</definedName>
    <definedName name="Default101">'Data for Rough Cost'!$DB$2:$DB$7</definedName>
    <definedName name="Default11">'Data for Rough Cost'!$P$2:$P$7</definedName>
    <definedName name="Default12">'Data for Rough Cost'!$Q$2:$Q$7</definedName>
    <definedName name="Default13">'Data for Rough Cost'!$R$2:$R$7</definedName>
    <definedName name="Default14">'Data for Rough Cost'!$S$2:$S$7</definedName>
    <definedName name="Default15">'Data for Rough Cost'!$T$2:$T$7</definedName>
    <definedName name="Default16">'Data for Rough Cost'!$U$2:$U$7</definedName>
    <definedName name="Default17">'Data for Rough Cost'!$V$2:$V$7</definedName>
    <definedName name="Default18">'Data for Rough Cost'!$W$2:$W$7</definedName>
    <definedName name="Default19">'Data for Rough Cost'!$X$2:$X$7</definedName>
    <definedName name="Default2">'Data for Rough Cost'!$G$2:$G$7</definedName>
    <definedName name="Default20">'Data for Rough Cost'!$Y$2:$Y$7</definedName>
    <definedName name="Default21">'Data for Rough Cost'!$Z$2:$Z$7</definedName>
    <definedName name="Default22">'Data for Rough Cost'!$AA$2:$AA$7</definedName>
    <definedName name="Default23">'Data for Rough Cost'!$AB$2:$AB$7</definedName>
    <definedName name="Default24">'Data for Rough Cost'!$AC$2:$AC$7</definedName>
    <definedName name="Default25">'Data for Rough Cost'!$AD$2:$AD$7</definedName>
    <definedName name="Default26">'Data for Rough Cost'!$AE$2:$AE$7</definedName>
    <definedName name="Default27">'Data for Rough Cost'!$AF$2:$AF$7</definedName>
    <definedName name="Default28">'Data for Rough Cost'!$AG$2:$AG$7</definedName>
    <definedName name="Default29">'Data for Rough Cost'!$AH$2:$AH$7</definedName>
    <definedName name="Default3">'Data for Rough Cost'!$H$2:$H$7</definedName>
    <definedName name="Default30">'Data for Rough Cost'!$AI$2:$AI$7</definedName>
    <definedName name="Default31">'Data for Rough Cost'!$AJ$2:$AJ$7</definedName>
    <definedName name="Default32">'Data for Rough Cost'!$AK$2:$AK$7</definedName>
    <definedName name="Default33">'Data for Rough Cost'!$AL$2:$AL$7</definedName>
    <definedName name="Default34">'Data for Rough Cost'!$AM$2:$AM$7</definedName>
    <definedName name="Default35">'Data for Rough Cost'!$AN$2:$AN$7</definedName>
    <definedName name="Default36">'Data for Rough Cost'!$AO$2:$AO$7</definedName>
    <definedName name="Default37">'Data for Rough Cost'!$AP$2:$AP$7</definedName>
    <definedName name="Default38">'Data for Rough Cost'!$AQ$2:$AQ$7</definedName>
    <definedName name="Default39">'Data for Rough Cost'!$AR$2:$AR$7</definedName>
    <definedName name="Default4">'Data for Rough Cost'!$I$2:$I$7</definedName>
    <definedName name="Default40">'Data for Rough Cost'!$AS$2:$AS$7</definedName>
    <definedName name="Default41">'Data for Rough Cost'!$AT$2:$AT$7</definedName>
    <definedName name="Default42">'Data for Rough Cost'!$AU$2:$AU$7</definedName>
    <definedName name="Default43">'Data for Rough Cost'!$AV$2:$AV$7</definedName>
    <definedName name="Default44">'Data for Rough Cost'!$AW$2:$AW$7</definedName>
    <definedName name="Default45">'Data for Rough Cost'!$AX$2:$AX$7</definedName>
    <definedName name="Default46">'Data for Rough Cost'!$AY$2:$AY$7</definedName>
    <definedName name="Default47">'Data for Rough Cost'!$AZ$2:$AZ$7</definedName>
    <definedName name="Default48">'Data for Rough Cost'!$BA$2:$BA$7</definedName>
    <definedName name="Default49">'Data for Rough Cost'!$BB$2:$BB$7</definedName>
    <definedName name="Default5">'Data for Rough Cost'!$J$2:$J$7</definedName>
    <definedName name="Default50">'Data for Rough Cost'!$BC$2:$BC$7</definedName>
    <definedName name="Default51">'Data for Rough Cost'!$BD$2:$BD$7</definedName>
    <definedName name="Default52">'Data for Rough Cost'!$BE$2:$BE$7</definedName>
    <definedName name="Default53">'Data for Rough Cost'!$BF$2:$BF$7</definedName>
    <definedName name="Default54">'Data for Rough Cost'!$BG$2:$BG$7</definedName>
    <definedName name="Default55">'Data for Rough Cost'!$BH$2:$BH$7</definedName>
    <definedName name="Default56">'Data for Rough Cost'!$BI$2:$BI$7</definedName>
    <definedName name="Default57">'Data for Rough Cost'!$BJ$2:$BJ$7</definedName>
    <definedName name="Default58">'Data for Rough Cost'!$BK$2:$BK$7</definedName>
    <definedName name="Default59">'Data for Rough Cost'!$BL$2:$BL$7</definedName>
    <definedName name="Default6">'Data for Rough Cost'!$K$2:$K$7</definedName>
    <definedName name="Default60">'Data for Rough Cost'!$BM$2:$BM$7</definedName>
    <definedName name="Default61">'Data for Rough Cost'!$BN$2:$BN$7</definedName>
    <definedName name="Default62">'Data for Rough Cost'!$BO$2:$BO$7</definedName>
    <definedName name="Default63">'Data for Rough Cost'!$BP$2:$BP$7</definedName>
    <definedName name="Default64">'Data for Rough Cost'!$BQ$2:$BQ$7</definedName>
    <definedName name="Default65">'Data for Rough Cost'!$BR$2:$BR$7</definedName>
    <definedName name="Default66">'Data for Rough Cost'!$BS$2:$BS$7</definedName>
    <definedName name="Default67">'Data for Rough Cost'!$BT$2:$BT$7</definedName>
    <definedName name="Default68">'Data for Rough Cost'!$BU$2:$BU$7</definedName>
    <definedName name="Default69">'Data for Rough Cost'!$BV$2:$BV$7</definedName>
    <definedName name="Default7">'Data for Rough Cost'!$L$2:$L$7</definedName>
    <definedName name="Default70">'Data for Rough Cost'!$BW$2:$BW$7</definedName>
    <definedName name="Default71">'Data for Rough Cost'!$BX$2:$BX$7</definedName>
    <definedName name="Default72">'Data for Rough Cost'!$BY$2:$BY$7</definedName>
    <definedName name="Default73">'Data for Rough Cost'!$BZ$2:$BZ$5</definedName>
    <definedName name="Default74">'Data for Rough Cost'!$CA$2:$CA$7</definedName>
    <definedName name="Default75">'Data for Rough Cost'!$CB$2:$CB$7</definedName>
    <definedName name="Default76">'Data for Rough Cost'!$CC$2:$CC$7</definedName>
    <definedName name="Default77">'Data for Rough Cost'!$CD$2</definedName>
    <definedName name="Default78">'Data for Rough Cost'!$CE$2</definedName>
    <definedName name="Default79">'Data for Rough Cost'!$CF$2:$CF$5</definedName>
    <definedName name="Default8">'Data for Rough Cost'!$M$2:$M$7</definedName>
    <definedName name="Default80">'Data for Rough Cost'!$CG$2:$CG$7</definedName>
    <definedName name="Default81">'Data for Rough Cost'!$CH$2:$CH$7</definedName>
    <definedName name="Default82">'Data for Rough Cost'!$CI$2:$CI$7</definedName>
    <definedName name="Default83">'Data for Rough Cost'!$CJ$2:$CJ$7</definedName>
    <definedName name="Default84">'Data for Rough Cost'!$CK$2:$CK$7</definedName>
    <definedName name="Default85">'Data for Rough Cost'!$CL$2:$CL$7</definedName>
    <definedName name="Default86">'Data for Rough Cost'!$CM$2:$CM$7</definedName>
    <definedName name="Default87">'Data for Rough Cost'!$CN$2:$CN$7</definedName>
    <definedName name="Default88">'Data for Rough Cost'!$CO$2:$CO$7</definedName>
    <definedName name="Default89">'Data for Rough Cost'!$CP$2:$CP$7</definedName>
    <definedName name="Default9">'Data for Rough Cost'!$N$2:$N$7</definedName>
    <definedName name="Default90">'Data for Rough Cost'!$CQ$2:$CQ$7</definedName>
    <definedName name="Default91">'Data for Rough Cost'!$CR$2:$CR$7</definedName>
    <definedName name="Default92">'Data for Rough Cost'!$CS$2:$CS$7</definedName>
    <definedName name="Default93">'Data for Rough Cost'!$CT$2:$CT$7</definedName>
    <definedName name="Default94">'Data for Rough Cost'!$CU$2:$CU$7</definedName>
    <definedName name="Default95">'Data for Rough Cost'!$CV$2:$CV$7</definedName>
    <definedName name="Default96">'Data for Rough Cost'!$CW$2:$CW$7</definedName>
    <definedName name="Default97">'Data for Rough Cost'!$CX$2:$CX$7</definedName>
    <definedName name="Default98">'Data for Rough Cost'!$CY$2:$CY$7</definedName>
    <definedName name="Default99">'Data for Rough Cost'!$CZ$2:$CZ$7</definedName>
    <definedName name="Economy">'Data for Rough Cost'!$D$103:$D$110</definedName>
    <definedName name="Economy1">'Data for Rough Cost'!$DC$2:$DC$5</definedName>
    <definedName name="Economy2">'Data for Rough Cost'!$DD$2:$DD$5</definedName>
    <definedName name="Economy3">'Data for Rough Cost'!$DE$2:$DE$5</definedName>
    <definedName name="Economy4">'Data for Rough Cost'!$DF$2:$DF$5</definedName>
    <definedName name="Economy5">'Data for Rough Cost'!$DG$2:$DG$5</definedName>
    <definedName name="Economy6">'Data for Rough Cost'!$DH$2:$DH$5</definedName>
    <definedName name="Economy7">'Data for Rough Cost'!$DI$2:$DI$5</definedName>
    <definedName name="Economy8">'Data for Rough Cost'!$DJ$2:$DJ$5</definedName>
    <definedName name="Luxury">'Data for Rough Cost'!$D$133:$D$142</definedName>
    <definedName name="Luxury1">'Data for Rough Cost'!$EG$2:$EG$5</definedName>
    <definedName name="Luxury10">'Data for Rough Cost'!$EP$2:$EP$5</definedName>
    <definedName name="Luxury2">'Data for Rough Cost'!$EH$2:$EH$5</definedName>
    <definedName name="Luxury3">'Data for Rough Cost'!$EI$2:$EI$5</definedName>
    <definedName name="Luxury4">'Data for Rough Cost'!$EJ$2:$EJ$5</definedName>
    <definedName name="Luxury5">'Data for Rough Cost'!$EK$2:$EK$5</definedName>
    <definedName name="Luxury6">'Data for Rough Cost'!$EL$2:$EL$5</definedName>
    <definedName name="Luxury7">'Data for Rough Cost'!$EM$2:$EM$5</definedName>
    <definedName name="Luxury8">'Data for Rough Cost'!$EN$2:$EN$5</definedName>
    <definedName name="Luxury9">'Data for Rough Cost'!$EO$2:$EO$5</definedName>
    <definedName name="_xlnm.Print_Area" localSheetId="0">'BASE BID'!$A$1:$R$351</definedName>
    <definedName name="_xlnm.Print_Area" localSheetId="3">'COST SUMMARY'!$A$1:$R$13</definedName>
    <definedName name="_xlnm.Print_Titles" localSheetId="0">'BASE BID'!$17:$17</definedName>
    <definedName name="Residential">'Data for Rough Cost'!$C$2:$C$5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7" i="26" l="1"/>
  <c r="P56" i="26"/>
  <c r="P55" i="26"/>
  <c r="P54" i="26"/>
  <c r="P51" i="26"/>
  <c r="P50" i="26"/>
  <c r="P49" i="26"/>
  <c r="P48" i="26"/>
  <c r="P47" i="26"/>
  <c r="P44" i="26"/>
  <c r="P43" i="26"/>
  <c r="P42" i="26"/>
  <c r="P41" i="26"/>
  <c r="P40" i="26"/>
  <c r="P39" i="26"/>
  <c r="P36" i="26"/>
  <c r="P35" i="26"/>
  <c r="P34" i="26"/>
  <c r="P31" i="26"/>
  <c r="P30" i="26"/>
  <c r="P29" i="26"/>
  <c r="P28" i="26"/>
  <c r="P27" i="26"/>
  <c r="P26" i="26"/>
  <c r="P25" i="26"/>
  <c r="P24" i="26"/>
  <c r="P23" i="26"/>
  <c r="P22" i="26"/>
  <c r="P21" i="26"/>
  <c r="P62" i="26"/>
  <c r="P61" i="26"/>
  <c r="P60" i="26"/>
  <c r="P65" i="26"/>
  <c r="P73" i="26"/>
  <c r="P72" i="26"/>
  <c r="P71" i="26"/>
  <c r="A263" i="26"/>
  <c r="A264" i="26" s="1"/>
  <c r="H266" i="26"/>
  <c r="G266" i="26"/>
  <c r="I266" i="26" s="1"/>
  <c r="A265" i="26" l="1"/>
  <c r="A266" i="26" l="1"/>
  <c r="A267" i="26" l="1"/>
  <c r="A268" i="26" s="1"/>
  <c r="G340" i="26" l="1"/>
  <c r="M73" i="26"/>
  <c r="M72" i="26"/>
  <c r="M71" i="26"/>
  <c r="D20" i="22"/>
  <c r="D31" i="22"/>
  <c r="D30" i="22"/>
  <c r="D6" i="22"/>
  <c r="O307" i="26"/>
  <c r="K307" i="26"/>
  <c r="O213" i="26"/>
  <c r="K213" i="26"/>
  <c r="O211" i="26"/>
  <c r="K211" i="26"/>
  <c r="O210" i="26"/>
  <c r="K210" i="26"/>
  <c r="O209" i="26"/>
  <c r="M209" i="26"/>
  <c r="K209" i="26"/>
  <c r="O192" i="26"/>
  <c r="K192" i="26"/>
  <c r="O191" i="26"/>
  <c r="O190" i="26"/>
  <c r="K191" i="26"/>
  <c r="K190" i="26"/>
  <c r="O111" i="26"/>
  <c r="K111" i="26"/>
  <c r="O110" i="26"/>
  <c r="K110" i="26"/>
  <c r="O109" i="26"/>
  <c r="K109" i="26"/>
  <c r="A66" i="26"/>
  <c r="A67" i="26"/>
  <c r="A68" i="26"/>
  <c r="A69" i="26"/>
  <c r="A70" i="26"/>
  <c r="A74" i="26"/>
  <c r="A75" i="26"/>
  <c r="A76" i="26"/>
  <c r="A77" i="26"/>
  <c r="A78" i="26"/>
  <c r="A79" i="26"/>
  <c r="A82" i="26"/>
  <c r="A83" i="26"/>
  <c r="A90" i="26"/>
  <c r="A91" i="26"/>
  <c r="A107" i="26"/>
  <c r="A108" i="26"/>
  <c r="A112" i="26"/>
  <c r="A116" i="26"/>
  <c r="A117" i="26"/>
  <c r="A118" i="26"/>
  <c r="A119" i="26"/>
  <c r="A138" i="26"/>
  <c r="A139" i="26"/>
  <c r="A144" i="26"/>
  <c r="A145" i="26"/>
  <c r="A146" i="26"/>
  <c r="A147" i="26"/>
  <c r="A152" i="26"/>
  <c r="A153" i="26"/>
  <c r="A157" i="26"/>
  <c r="A158" i="26"/>
  <c r="A159" i="26"/>
  <c r="A172" i="26"/>
  <c r="A173" i="26"/>
  <c r="A174" i="26"/>
  <c r="A187" i="26"/>
  <c r="A188" i="26"/>
  <c r="A189" i="26"/>
  <c r="A193" i="26"/>
  <c r="A207" i="26"/>
  <c r="A208" i="26"/>
  <c r="A215" i="26"/>
  <c r="A231" i="26"/>
  <c r="A238" i="26"/>
  <c r="A245" i="26"/>
  <c r="A246" i="26"/>
  <c r="A247" i="26"/>
  <c r="A248" i="26"/>
  <c r="A255" i="26"/>
  <c r="A256" i="26"/>
  <c r="A258" i="26"/>
  <c r="A259" i="26"/>
  <c r="A260" i="26"/>
  <c r="A262" i="26"/>
  <c r="A271" i="26"/>
  <c r="A272" i="26"/>
  <c r="A273" i="26"/>
  <c r="A274" i="26"/>
  <c r="A281" i="26"/>
  <c r="A282" i="26"/>
  <c r="A284" i="26"/>
  <c r="A285" i="26"/>
  <c r="A301" i="26"/>
  <c r="A302" i="26"/>
  <c r="A304" i="26"/>
  <c r="A305" i="26"/>
  <c r="A306" i="26"/>
  <c r="A311" i="26"/>
  <c r="A320" i="26"/>
  <c r="A327" i="26"/>
  <c r="A334" i="26"/>
  <c r="A335" i="26"/>
  <c r="A336" i="26"/>
  <c r="A338" i="26"/>
  <c r="I73" i="26" l="1"/>
  <c r="L73" i="26" s="1"/>
  <c r="I72" i="26"/>
  <c r="L72" i="26" s="1"/>
  <c r="I71" i="26"/>
  <c r="L71" i="26" s="1"/>
  <c r="N73" i="26" l="1"/>
  <c r="S73" i="26" s="1"/>
  <c r="T73" i="26" s="1"/>
  <c r="N72" i="26"/>
  <c r="S72" i="26" s="1"/>
  <c r="T72" i="26" s="1"/>
  <c r="N71" i="26"/>
  <c r="Q73" i="26" l="1"/>
  <c r="Q72" i="26"/>
  <c r="S71" i="26"/>
  <c r="T71" i="26" s="1"/>
  <c r="Q71" i="26"/>
  <c r="R67" i="26" l="1"/>
  <c r="M89" i="26" l="1"/>
  <c r="M88" i="26"/>
  <c r="M87" i="26"/>
  <c r="M86" i="26"/>
  <c r="M85" i="26"/>
  <c r="M84" i="26"/>
  <c r="M309" i="26"/>
  <c r="G309" i="26"/>
  <c r="M290" i="26"/>
  <c r="M223" i="26"/>
  <c r="M224" i="26"/>
  <c r="G200" i="26"/>
  <c r="G199" i="26"/>
  <c r="G198" i="26"/>
  <c r="G197" i="26"/>
  <c r="G196" i="26"/>
  <c r="M194" i="26"/>
  <c r="M113" i="26"/>
  <c r="M263" i="26"/>
  <c r="M218" i="26"/>
  <c r="M219" i="26"/>
  <c r="M216" i="26"/>
  <c r="M217" i="26"/>
  <c r="M220" i="26"/>
  <c r="M221" i="26"/>
  <c r="M104" i="26"/>
  <c r="M160" i="26"/>
  <c r="M161" i="26"/>
  <c r="M291" i="26"/>
  <c r="M303" i="26"/>
  <c r="M312" i="26"/>
  <c r="M313" i="26"/>
  <c r="M142" i="26"/>
  <c r="M141" i="26"/>
  <c r="M192" i="26"/>
  <c r="M111" i="26"/>
  <c r="M110" i="26"/>
  <c r="M109" i="26"/>
  <c r="M213" i="26"/>
  <c r="M257" i="26"/>
  <c r="M264" i="26"/>
  <c r="M222" i="26"/>
  <c r="A52" i="26"/>
  <c r="A53" i="26"/>
  <c r="A58" i="26"/>
  <c r="A59" i="26"/>
  <c r="A63" i="26"/>
  <c r="A64" i="26"/>
  <c r="A32" i="26"/>
  <c r="A33" i="26"/>
  <c r="A37" i="26"/>
  <c r="A38" i="26"/>
  <c r="A45" i="26"/>
  <c r="A46" i="26"/>
  <c r="G344" i="26"/>
  <c r="G343" i="26"/>
  <c r="G342" i="26"/>
  <c r="G341" i="26"/>
  <c r="M339" i="26"/>
  <c r="M337" i="26"/>
  <c r="M310" i="26"/>
  <c r="M308" i="26"/>
  <c r="G333" i="26"/>
  <c r="G332" i="26"/>
  <c r="G331" i="26"/>
  <c r="G330" i="26"/>
  <c r="G329" i="26"/>
  <c r="M328" i="26"/>
  <c r="G325" i="26"/>
  <c r="G326" i="26"/>
  <c r="G324" i="26"/>
  <c r="M321" i="26"/>
  <c r="G307" i="26"/>
  <c r="M300" i="26"/>
  <c r="M299" i="26"/>
  <c r="M298" i="26"/>
  <c r="M297" i="26"/>
  <c r="M296" i="26"/>
  <c r="M295" i="26"/>
  <c r="M294" i="26"/>
  <c r="M293" i="26"/>
  <c r="M292" i="26"/>
  <c r="M289" i="26"/>
  <c r="M288" i="26"/>
  <c r="M286" i="26"/>
  <c r="M280" i="26"/>
  <c r="M279" i="26"/>
  <c r="M278" i="26"/>
  <c r="G261" i="26"/>
  <c r="G244" i="26"/>
  <c r="G243" i="26"/>
  <c r="G242" i="26"/>
  <c r="G241" i="26"/>
  <c r="G240" i="26"/>
  <c r="M239" i="26"/>
  <c r="G237" i="26"/>
  <c r="G236" i="26"/>
  <c r="G235" i="26"/>
  <c r="G234" i="26"/>
  <c r="G233" i="26"/>
  <c r="M232" i="26"/>
  <c r="G211" i="26"/>
  <c r="G210" i="26"/>
  <c r="M195" i="26"/>
  <c r="M81" i="26"/>
  <c r="M80" i="26"/>
  <c r="M106" i="26"/>
  <c r="M105" i="26"/>
  <c r="M103" i="26"/>
  <c r="M102" i="26"/>
  <c r="M101" i="26"/>
  <c r="M100" i="26"/>
  <c r="M99" i="26"/>
  <c r="M98" i="26"/>
  <c r="M97" i="26"/>
  <c r="M96" i="26"/>
  <c r="M95" i="26"/>
  <c r="M115" i="26"/>
  <c r="M114" i="26"/>
  <c r="M94" i="26"/>
  <c r="M93" i="26"/>
  <c r="M92" i="26"/>
  <c r="M169" i="26"/>
  <c r="M168" i="26"/>
  <c r="M167" i="26"/>
  <c r="M166" i="26"/>
  <c r="M151" i="26"/>
  <c r="M134" i="26"/>
  <c r="M133" i="26"/>
  <c r="M132" i="26"/>
  <c r="M131" i="26"/>
  <c r="M130" i="26"/>
  <c r="M129" i="26"/>
  <c r="M314" i="26"/>
  <c r="M307" i="26"/>
  <c r="M287" i="26"/>
  <c r="M283" i="26"/>
  <c r="M277" i="26"/>
  <c r="M276" i="26"/>
  <c r="M275" i="26"/>
  <c r="M265" i="26"/>
  <c r="M261" i="26"/>
  <c r="M254" i="26"/>
  <c r="M253" i="26"/>
  <c r="M252" i="26"/>
  <c r="M251" i="26"/>
  <c r="M250" i="26"/>
  <c r="M249" i="26"/>
  <c r="M225" i="26"/>
  <c r="M214" i="26"/>
  <c r="M212" i="26"/>
  <c r="M211" i="26"/>
  <c r="M210" i="26"/>
  <c r="M201" i="26"/>
  <c r="M191" i="26"/>
  <c r="M190" i="26"/>
  <c r="M181" i="26"/>
  <c r="M180" i="26"/>
  <c r="M179" i="26"/>
  <c r="M178" i="26"/>
  <c r="M177" i="26"/>
  <c r="M176" i="26"/>
  <c r="M175" i="26"/>
  <c r="M171" i="26"/>
  <c r="M170" i="26"/>
  <c r="M165" i="26"/>
  <c r="M164" i="26"/>
  <c r="M163" i="26"/>
  <c r="M162" i="26"/>
  <c r="M156" i="26"/>
  <c r="M155" i="26"/>
  <c r="M154" i="26"/>
  <c r="M150" i="26"/>
  <c r="M149" i="26"/>
  <c r="M148" i="26"/>
  <c r="M143" i="26"/>
  <c r="M140" i="26"/>
  <c r="M137" i="26"/>
  <c r="M136" i="26"/>
  <c r="M135" i="26"/>
  <c r="M128" i="26"/>
  <c r="M127" i="26"/>
  <c r="M126" i="26"/>
  <c r="M125" i="26"/>
  <c r="M124" i="26"/>
  <c r="M123" i="26"/>
  <c r="M122" i="26"/>
  <c r="M121" i="26"/>
  <c r="M120" i="26"/>
  <c r="G322" i="26" l="1"/>
  <c r="G323" i="26"/>
  <c r="G186" i="26"/>
  <c r="G185" i="26"/>
  <c r="G184" i="26"/>
  <c r="G183" i="26"/>
  <c r="G182" i="26"/>
  <c r="G319" i="26" l="1"/>
  <c r="G318" i="26"/>
  <c r="G317" i="26"/>
  <c r="G316" i="26"/>
  <c r="G315" i="26"/>
  <c r="G270" i="26"/>
  <c r="G269" i="26"/>
  <c r="G268" i="26"/>
  <c r="G267" i="26"/>
  <c r="G226" i="26"/>
  <c r="G227" i="26"/>
  <c r="C123" i="22"/>
  <c r="C122" i="22"/>
  <c r="C121" i="22"/>
  <c r="C120" i="22"/>
  <c r="C119" i="22"/>
  <c r="C118" i="22"/>
  <c r="C117" i="22"/>
  <c r="C116" i="22"/>
  <c r="H340" i="26" s="1"/>
  <c r="I340" i="26" s="1"/>
  <c r="M350" i="26"/>
  <c r="M349" i="26"/>
  <c r="M348" i="26"/>
  <c r="M347" i="26"/>
  <c r="A345" i="26"/>
  <c r="G230" i="26"/>
  <c r="G229" i="26"/>
  <c r="G228" i="26"/>
  <c r="G206" i="26"/>
  <c r="G205" i="26"/>
  <c r="G204" i="26"/>
  <c r="G203" i="26"/>
  <c r="G202" i="26"/>
  <c r="M65" i="26"/>
  <c r="M62" i="26"/>
  <c r="M61" i="26"/>
  <c r="M60" i="26"/>
  <c r="M57" i="26"/>
  <c r="M56" i="26"/>
  <c r="M55" i="26"/>
  <c r="M54" i="26"/>
  <c r="M51" i="26"/>
  <c r="M50" i="26"/>
  <c r="M49" i="26"/>
  <c r="M48" i="26"/>
  <c r="M47" i="26"/>
  <c r="M44" i="26"/>
  <c r="M43" i="26"/>
  <c r="M42" i="26"/>
  <c r="M41" i="26"/>
  <c r="M40" i="26"/>
  <c r="M39" i="26"/>
  <c r="M36" i="26"/>
  <c r="M35" i="26"/>
  <c r="M34" i="26"/>
  <c r="M31" i="26"/>
  <c r="M30" i="26"/>
  <c r="M29" i="26"/>
  <c r="M28" i="26"/>
  <c r="M27" i="26"/>
  <c r="M26" i="26"/>
  <c r="M25" i="26"/>
  <c r="M24" i="26"/>
  <c r="M23" i="26"/>
  <c r="M22" i="26"/>
  <c r="M21" i="26"/>
  <c r="A21" i="26"/>
  <c r="D6" i="12"/>
  <c r="D5" i="12"/>
  <c r="L4" i="12"/>
  <c r="D4" i="12"/>
  <c r="F11" i="31"/>
  <c r="H290" i="26" l="1"/>
  <c r="I290" i="26" s="1"/>
  <c r="H88" i="26"/>
  <c r="I88" i="26" s="1"/>
  <c r="H84" i="26"/>
  <c r="I84" i="26" s="1"/>
  <c r="H89" i="26"/>
  <c r="I89" i="26" s="1"/>
  <c r="H85" i="26"/>
  <c r="I85" i="26" s="1"/>
  <c r="H86" i="26"/>
  <c r="I86" i="26" s="1"/>
  <c r="H87" i="26"/>
  <c r="I87" i="26" s="1"/>
  <c r="H223" i="26"/>
  <c r="I223" i="26" s="1"/>
  <c r="H309" i="26"/>
  <c r="I309" i="26" s="1"/>
  <c r="H194" i="26"/>
  <c r="I194" i="26" s="1"/>
  <c r="H224" i="26"/>
  <c r="I224" i="26" s="1"/>
  <c r="H200" i="26"/>
  <c r="I200" i="26" s="1"/>
  <c r="H197" i="26"/>
  <c r="I197" i="26" s="1"/>
  <c r="H199" i="26"/>
  <c r="I199" i="26" s="1"/>
  <c r="H196" i="26"/>
  <c r="I196" i="26" s="1"/>
  <c r="H198" i="26"/>
  <c r="I198" i="26" s="1"/>
  <c r="H263" i="26"/>
  <c r="I263" i="26" s="1"/>
  <c r="H113" i="26"/>
  <c r="I113" i="26" s="1"/>
  <c r="H219" i="26"/>
  <c r="I219" i="26" s="1"/>
  <c r="H218" i="26"/>
  <c r="I218" i="26" s="1"/>
  <c r="H217" i="26"/>
  <c r="I217" i="26" s="1"/>
  <c r="H216" i="26"/>
  <c r="I216" i="26" s="1"/>
  <c r="H221" i="26"/>
  <c r="I221" i="26" s="1"/>
  <c r="H220" i="26"/>
  <c r="I220" i="26" s="1"/>
  <c r="H160" i="26"/>
  <c r="I160" i="26" s="1"/>
  <c r="H104" i="26"/>
  <c r="I104" i="26" s="1"/>
  <c r="H291" i="26"/>
  <c r="I291" i="26" s="1"/>
  <c r="H161" i="26"/>
  <c r="I161" i="26" s="1"/>
  <c r="H142" i="26"/>
  <c r="I142" i="26" s="1"/>
  <c r="H303" i="26"/>
  <c r="I303" i="26" s="1"/>
  <c r="H313" i="26"/>
  <c r="I313" i="26" s="1"/>
  <c r="H312" i="26"/>
  <c r="I312" i="26" s="1"/>
  <c r="H257" i="26"/>
  <c r="I257" i="26" s="1"/>
  <c r="H141" i="26"/>
  <c r="I141" i="26" s="1"/>
  <c r="H213" i="26"/>
  <c r="I213" i="26" s="1"/>
  <c r="H110" i="26"/>
  <c r="I110" i="26" s="1"/>
  <c r="H111" i="26"/>
  <c r="I111" i="26" s="1"/>
  <c r="H192" i="26"/>
  <c r="I192" i="26" s="1"/>
  <c r="H109" i="26"/>
  <c r="I109" i="26" s="1"/>
  <c r="H222" i="26"/>
  <c r="I222" i="26" s="1"/>
  <c r="H264" i="26"/>
  <c r="I264" i="26" s="1"/>
  <c r="A22" i="26"/>
  <c r="H344" i="26"/>
  <c r="I344" i="26" s="1"/>
  <c r="H342" i="26"/>
  <c r="I342" i="26" s="1"/>
  <c r="H343" i="26"/>
  <c r="I343" i="26" s="1"/>
  <c r="H341" i="26"/>
  <c r="I341" i="26" s="1"/>
  <c r="H308" i="26"/>
  <c r="I308" i="26" s="1"/>
  <c r="H337" i="26"/>
  <c r="I337" i="26" s="1"/>
  <c r="H310" i="26"/>
  <c r="I310" i="26" s="1"/>
  <c r="H339" i="26"/>
  <c r="I339" i="26" s="1"/>
  <c r="H333" i="26"/>
  <c r="I333" i="26" s="1"/>
  <c r="H331" i="26"/>
  <c r="I331" i="26" s="1"/>
  <c r="H329" i="26"/>
  <c r="I329" i="26" s="1"/>
  <c r="H332" i="26"/>
  <c r="I332" i="26" s="1"/>
  <c r="H330" i="26"/>
  <c r="I330" i="26" s="1"/>
  <c r="H321" i="26"/>
  <c r="I321" i="26" s="1"/>
  <c r="H328" i="26"/>
  <c r="I328" i="26" s="1"/>
  <c r="H326" i="26"/>
  <c r="I326" i="26" s="1"/>
  <c r="H324" i="26"/>
  <c r="I324" i="26" s="1"/>
  <c r="H322" i="26"/>
  <c r="I322" i="26" s="1"/>
  <c r="H325" i="26"/>
  <c r="I325" i="26" s="1"/>
  <c r="H323" i="26"/>
  <c r="I323" i="26" s="1"/>
  <c r="H299" i="26"/>
  <c r="I299" i="26" s="1"/>
  <c r="H298" i="26"/>
  <c r="I298" i="26" s="1"/>
  <c r="H297" i="26"/>
  <c r="I297" i="26" s="1"/>
  <c r="H296" i="26"/>
  <c r="I296" i="26" s="1"/>
  <c r="H295" i="26"/>
  <c r="I295" i="26" s="1"/>
  <c r="H300" i="26"/>
  <c r="I300" i="26" s="1"/>
  <c r="H294" i="26"/>
  <c r="I294" i="26" s="1"/>
  <c r="H293" i="26"/>
  <c r="I293" i="26" s="1"/>
  <c r="H292" i="26"/>
  <c r="I292" i="26" s="1"/>
  <c r="H289" i="26"/>
  <c r="I289" i="26" s="1"/>
  <c r="H288" i="26"/>
  <c r="I288" i="26" s="1"/>
  <c r="H286" i="26"/>
  <c r="I286" i="26" s="1"/>
  <c r="H279" i="26"/>
  <c r="I279" i="26" s="1"/>
  <c r="H278" i="26"/>
  <c r="I278" i="26" s="1"/>
  <c r="H280" i="26"/>
  <c r="I280" i="26" s="1"/>
  <c r="H244" i="26"/>
  <c r="I244" i="26" s="1"/>
  <c r="H242" i="26"/>
  <c r="I242" i="26" s="1"/>
  <c r="H240" i="26"/>
  <c r="I240" i="26" s="1"/>
  <c r="H243" i="26"/>
  <c r="I243" i="26" s="1"/>
  <c r="H241" i="26"/>
  <c r="I241" i="26" s="1"/>
  <c r="H232" i="26"/>
  <c r="I232" i="26" s="1"/>
  <c r="H239" i="26"/>
  <c r="I239" i="26" s="1"/>
  <c r="H237" i="26"/>
  <c r="I237" i="26" s="1"/>
  <c r="H235" i="26"/>
  <c r="I235" i="26" s="1"/>
  <c r="H233" i="26"/>
  <c r="I233" i="26" s="1"/>
  <c r="H236" i="26"/>
  <c r="I236" i="26" s="1"/>
  <c r="H234" i="26"/>
  <c r="I234" i="26" s="1"/>
  <c r="H195" i="26"/>
  <c r="I195" i="26" s="1"/>
  <c r="H81" i="26"/>
  <c r="I81" i="26" s="1"/>
  <c r="H80" i="26"/>
  <c r="I80" i="26" s="1"/>
  <c r="H105" i="26"/>
  <c r="I105" i="26" s="1"/>
  <c r="H106" i="26"/>
  <c r="I106" i="26" s="1"/>
  <c r="H102" i="26"/>
  <c r="I102" i="26" s="1"/>
  <c r="H101" i="26"/>
  <c r="I101" i="26" s="1"/>
  <c r="H103" i="26"/>
  <c r="I103" i="26" s="1"/>
  <c r="H99" i="26"/>
  <c r="I99" i="26" s="1"/>
  <c r="H98" i="26"/>
  <c r="I98" i="26" s="1"/>
  <c r="H100" i="26"/>
  <c r="I100" i="26" s="1"/>
  <c r="H96" i="26"/>
  <c r="I96" i="26" s="1"/>
  <c r="H95" i="26"/>
  <c r="I95" i="26" s="1"/>
  <c r="H97" i="26"/>
  <c r="I97" i="26" s="1"/>
  <c r="H94" i="26"/>
  <c r="I94" i="26" s="1"/>
  <c r="H93" i="26"/>
  <c r="I93" i="26" s="1"/>
  <c r="H92" i="26"/>
  <c r="I92" i="26" s="1"/>
  <c r="H115" i="26"/>
  <c r="I115" i="26" s="1"/>
  <c r="H114" i="26"/>
  <c r="I114" i="26" s="1"/>
  <c r="H151" i="26"/>
  <c r="I151" i="26" s="1"/>
  <c r="H168" i="26"/>
  <c r="I168" i="26" s="1"/>
  <c r="H167" i="26"/>
  <c r="I167" i="26" s="1"/>
  <c r="H166" i="26"/>
  <c r="I166" i="26" s="1"/>
  <c r="H169" i="26"/>
  <c r="I169" i="26" s="1"/>
  <c r="H133" i="26"/>
  <c r="I133" i="26" s="1"/>
  <c r="H130" i="26"/>
  <c r="I130" i="26" s="1"/>
  <c r="H129" i="26"/>
  <c r="I129" i="26" s="1"/>
  <c r="H134" i="26"/>
  <c r="I134" i="26" s="1"/>
  <c r="H132" i="26"/>
  <c r="I132" i="26" s="1"/>
  <c r="H131" i="26"/>
  <c r="I131" i="26" s="1"/>
  <c r="H287" i="26"/>
  <c r="I287" i="26" s="1"/>
  <c r="H283" i="26"/>
  <c r="I283" i="26" s="1"/>
  <c r="H254" i="26"/>
  <c r="I254" i="26" s="1"/>
  <c r="H253" i="26"/>
  <c r="I253" i="26" s="1"/>
  <c r="H214" i="26"/>
  <c r="I214" i="26" s="1"/>
  <c r="H177" i="26"/>
  <c r="I177" i="26" s="1"/>
  <c r="H175" i="26"/>
  <c r="I175" i="26" s="1"/>
  <c r="H176" i="26"/>
  <c r="I176" i="26" s="1"/>
  <c r="H180" i="26"/>
  <c r="I180" i="26" s="1"/>
  <c r="H127" i="26"/>
  <c r="I127" i="26" s="1"/>
  <c r="H128" i="26"/>
  <c r="I128" i="26" s="1"/>
  <c r="H135" i="26"/>
  <c r="I135" i="26" s="1"/>
  <c r="H136" i="26"/>
  <c r="I136" i="26" s="1"/>
  <c r="H122" i="26"/>
  <c r="I122" i="26" s="1"/>
  <c r="H124" i="26"/>
  <c r="I124" i="26" s="1"/>
  <c r="H125" i="26"/>
  <c r="I125" i="26" s="1"/>
  <c r="H126" i="26"/>
  <c r="I126" i="26" s="1"/>
  <c r="H186" i="26"/>
  <c r="I186" i="26" s="1"/>
  <c r="H185" i="26"/>
  <c r="I185" i="26" s="1"/>
  <c r="H182" i="26"/>
  <c r="I182" i="26" s="1"/>
  <c r="H184" i="26"/>
  <c r="I184" i="26" s="1"/>
  <c r="H183" i="26"/>
  <c r="I183" i="26" s="1"/>
  <c r="H121" i="26"/>
  <c r="I121" i="26" s="1"/>
  <c r="H120" i="26"/>
  <c r="I120" i="26" s="1"/>
  <c r="H307" i="26"/>
  <c r="I307" i="26" s="1"/>
  <c r="H210" i="26"/>
  <c r="I210" i="26" s="1"/>
  <c r="H190" i="26"/>
  <c r="I190" i="26" s="1"/>
  <c r="H209" i="26"/>
  <c r="I209" i="26" s="1"/>
  <c r="L209" i="26" s="1"/>
  <c r="N209" i="26" s="1"/>
  <c r="H181" i="26"/>
  <c r="I181" i="26" s="1"/>
  <c r="H201" i="26"/>
  <c r="I201" i="26" s="1"/>
  <c r="H225" i="26"/>
  <c r="I225" i="26" s="1"/>
  <c r="H212" i="26"/>
  <c r="I212" i="26" s="1"/>
  <c r="H191" i="26"/>
  <c r="I191" i="26" s="1"/>
  <c r="H211" i="26"/>
  <c r="I211" i="26" s="1"/>
  <c r="H265" i="26"/>
  <c r="I265" i="26" s="1"/>
  <c r="H314" i="26"/>
  <c r="I314" i="26" s="1"/>
  <c r="H261" i="26"/>
  <c r="I261" i="26" s="1"/>
  <c r="H62" i="26"/>
  <c r="I62" i="26" s="1"/>
  <c r="L62" i="26" s="1"/>
  <c r="N62" i="26" s="1"/>
  <c r="S62" i="26" s="1"/>
  <c r="T62" i="26" s="1"/>
  <c r="H319" i="26"/>
  <c r="I319" i="26" s="1"/>
  <c r="H252" i="26"/>
  <c r="I252" i="26" s="1"/>
  <c r="H227" i="26"/>
  <c r="I227" i="26" s="1"/>
  <c r="H171" i="26"/>
  <c r="I171" i="26" s="1"/>
  <c r="H269" i="26"/>
  <c r="I269" i="26" s="1"/>
  <c r="H251" i="26"/>
  <c r="I251" i="26" s="1"/>
  <c r="H202" i="26"/>
  <c r="I202" i="26" s="1"/>
  <c r="H170" i="26"/>
  <c r="I170" i="26" s="1"/>
  <c r="H156" i="26"/>
  <c r="I156" i="26" s="1"/>
  <c r="H204" i="26"/>
  <c r="I204" i="26" s="1"/>
  <c r="H318" i="26"/>
  <c r="I318" i="26" s="1"/>
  <c r="H268" i="26"/>
  <c r="I268" i="26" s="1"/>
  <c r="H226" i="26"/>
  <c r="I226" i="26" s="1"/>
  <c r="H165" i="26"/>
  <c r="I165" i="26" s="1"/>
  <c r="H155" i="26"/>
  <c r="I155" i="26" s="1"/>
  <c r="H137" i="26"/>
  <c r="I137" i="26" s="1"/>
  <c r="H317" i="26"/>
  <c r="I317" i="26" s="1"/>
  <c r="H267" i="26"/>
  <c r="I267" i="26" s="1"/>
  <c r="H250" i="26"/>
  <c r="I250" i="26" s="1"/>
  <c r="H179" i="26"/>
  <c r="I179" i="26" s="1"/>
  <c r="H154" i="26"/>
  <c r="I154" i="26" s="1"/>
  <c r="H143" i="26"/>
  <c r="I143" i="26" s="1"/>
  <c r="H123" i="26"/>
  <c r="I123" i="26" s="1"/>
  <c r="H316" i="26"/>
  <c r="I316" i="26" s="1"/>
  <c r="H277" i="26"/>
  <c r="I277" i="26" s="1"/>
  <c r="H249" i="26"/>
  <c r="I249" i="26" s="1"/>
  <c r="H206" i="26"/>
  <c r="I206" i="26" s="1"/>
  <c r="H178" i="26"/>
  <c r="I178" i="26" s="1"/>
  <c r="H164" i="26"/>
  <c r="I164" i="26" s="1"/>
  <c r="H150" i="26"/>
  <c r="I150" i="26" s="1"/>
  <c r="H162" i="26"/>
  <c r="I162" i="26" s="1"/>
  <c r="H148" i="26"/>
  <c r="I148" i="26" s="1"/>
  <c r="H315" i="26"/>
  <c r="I315" i="26" s="1"/>
  <c r="H276" i="26"/>
  <c r="I276" i="26" s="1"/>
  <c r="H230" i="26"/>
  <c r="I230" i="26" s="1"/>
  <c r="H205" i="26"/>
  <c r="I205" i="26" s="1"/>
  <c r="H163" i="26"/>
  <c r="I163" i="26" s="1"/>
  <c r="H149" i="26"/>
  <c r="I149" i="26" s="1"/>
  <c r="H140" i="26"/>
  <c r="I140" i="26" s="1"/>
  <c r="H275" i="26"/>
  <c r="I275" i="26" s="1"/>
  <c r="H229" i="26"/>
  <c r="I229" i="26" s="1"/>
  <c r="H270" i="26"/>
  <c r="I270" i="26" s="1"/>
  <c r="H228" i="26"/>
  <c r="I228" i="26" s="1"/>
  <c r="H203" i="26"/>
  <c r="I203" i="26" s="1"/>
  <c r="H31" i="26"/>
  <c r="I31" i="26" s="1"/>
  <c r="L31" i="26" s="1"/>
  <c r="N31" i="26" s="1"/>
  <c r="S31" i="26" s="1"/>
  <c r="T31" i="26" s="1"/>
  <c r="H65" i="26"/>
  <c r="I65" i="26" s="1"/>
  <c r="H23" i="26"/>
  <c r="I23" i="26" s="1"/>
  <c r="L23" i="26" s="1"/>
  <c r="N23" i="26" s="1"/>
  <c r="S23" i="26" s="1"/>
  <c r="T23" i="26" s="1"/>
  <c r="H36" i="26"/>
  <c r="I36" i="26" s="1"/>
  <c r="H50" i="26"/>
  <c r="I50" i="26" s="1"/>
  <c r="L50" i="26" s="1"/>
  <c r="N50" i="26" s="1"/>
  <c r="H60" i="26"/>
  <c r="I60" i="26" s="1"/>
  <c r="L60" i="26" s="1"/>
  <c r="N60" i="26" s="1"/>
  <c r="S60" i="26" s="1"/>
  <c r="T60" i="26" s="1"/>
  <c r="H27" i="26"/>
  <c r="I27" i="26" s="1"/>
  <c r="H41" i="26"/>
  <c r="I41" i="26" s="1"/>
  <c r="L41" i="26" s="1"/>
  <c r="N41" i="26" s="1"/>
  <c r="Q41" i="26" s="1"/>
  <c r="H55" i="26"/>
  <c r="I55" i="26" s="1"/>
  <c r="H22" i="26"/>
  <c r="I22" i="26" s="1"/>
  <c r="L22" i="26" s="1"/>
  <c r="N22" i="26" s="1"/>
  <c r="Q22" i="26" s="1"/>
  <c r="H26" i="26"/>
  <c r="I26" i="26" s="1"/>
  <c r="L26" i="26" s="1"/>
  <c r="N26" i="26" s="1"/>
  <c r="Q26" i="26" s="1"/>
  <c r="H30" i="26"/>
  <c r="I30" i="26" s="1"/>
  <c r="L30" i="26" s="1"/>
  <c r="N30" i="26" s="1"/>
  <c r="Q30" i="26" s="1"/>
  <c r="H35" i="26"/>
  <c r="I35" i="26" s="1"/>
  <c r="L35" i="26" s="1"/>
  <c r="N35" i="26" s="1"/>
  <c r="H40" i="26"/>
  <c r="I40" i="26" s="1"/>
  <c r="L40" i="26" s="1"/>
  <c r="N40" i="26" s="1"/>
  <c r="H44" i="26"/>
  <c r="I44" i="26" s="1"/>
  <c r="H49" i="26"/>
  <c r="I49" i="26" s="1"/>
  <c r="L49" i="26" s="1"/>
  <c r="N49" i="26" s="1"/>
  <c r="Q49" i="26" s="1"/>
  <c r="H54" i="26"/>
  <c r="I54" i="26" s="1"/>
  <c r="L54" i="26" s="1"/>
  <c r="N54" i="26" s="1"/>
  <c r="H24" i="26"/>
  <c r="I24" i="26" s="1"/>
  <c r="L24" i="26" s="1"/>
  <c r="N24" i="26" s="1"/>
  <c r="H28" i="26"/>
  <c r="I28" i="26" s="1"/>
  <c r="L28" i="26" s="1"/>
  <c r="N28" i="26" s="1"/>
  <c r="S28" i="26" s="1"/>
  <c r="T28" i="26" s="1"/>
  <c r="H42" i="26"/>
  <c r="I42" i="26" s="1"/>
  <c r="L42" i="26" s="1"/>
  <c r="N42" i="26" s="1"/>
  <c r="H47" i="26"/>
  <c r="I47" i="26" s="1"/>
  <c r="L47" i="26" s="1"/>
  <c r="N47" i="26" s="1"/>
  <c r="S47" i="26" s="1"/>
  <c r="T47" i="26" s="1"/>
  <c r="H51" i="26"/>
  <c r="I51" i="26" s="1"/>
  <c r="L51" i="26" s="1"/>
  <c r="N51" i="26" s="1"/>
  <c r="S51" i="26" s="1"/>
  <c r="T51" i="26" s="1"/>
  <c r="H56" i="26"/>
  <c r="I56" i="26" s="1"/>
  <c r="L56" i="26" s="1"/>
  <c r="N56" i="26" s="1"/>
  <c r="H61" i="26"/>
  <c r="I61" i="26" s="1"/>
  <c r="L61" i="26" s="1"/>
  <c r="N61" i="26" s="1"/>
  <c r="Q61" i="26" s="1"/>
  <c r="H21" i="26"/>
  <c r="I21" i="26" s="1"/>
  <c r="L21" i="26" s="1"/>
  <c r="N21" i="26" s="1"/>
  <c r="H25" i="26"/>
  <c r="I25" i="26" s="1"/>
  <c r="L25" i="26" s="1"/>
  <c r="N25" i="26" s="1"/>
  <c r="Q25" i="26" s="1"/>
  <c r="H29" i="26"/>
  <c r="I29" i="26" s="1"/>
  <c r="L29" i="26" s="1"/>
  <c r="N29" i="26" s="1"/>
  <c r="S29" i="26" s="1"/>
  <c r="T29" i="26" s="1"/>
  <c r="H34" i="26"/>
  <c r="I34" i="26" s="1"/>
  <c r="H39" i="26"/>
  <c r="I39" i="26" s="1"/>
  <c r="L39" i="26" s="1"/>
  <c r="N39" i="26" s="1"/>
  <c r="S39" i="26" s="1"/>
  <c r="T39" i="26" s="1"/>
  <c r="H43" i="26"/>
  <c r="I43" i="26" s="1"/>
  <c r="L43" i="26" s="1"/>
  <c r="N43" i="26" s="1"/>
  <c r="Q43" i="26" s="1"/>
  <c r="H48" i="26"/>
  <c r="I48" i="26" s="1"/>
  <c r="L48" i="26" s="1"/>
  <c r="N48" i="26" s="1"/>
  <c r="H57" i="26"/>
  <c r="I57" i="26" s="1"/>
  <c r="L57" i="26" s="1"/>
  <c r="N57" i="26" s="1"/>
  <c r="Q57" i="26" s="1"/>
  <c r="L275" i="26" l="1"/>
  <c r="N275" i="26" s="1"/>
  <c r="P275" i="26"/>
  <c r="L148" i="26"/>
  <c r="N148" i="26" s="1"/>
  <c r="P148" i="26"/>
  <c r="L277" i="26"/>
  <c r="N277" i="26" s="1"/>
  <c r="P277" i="26"/>
  <c r="Q277" i="26" s="1"/>
  <c r="L156" i="26"/>
  <c r="N156" i="26" s="1"/>
  <c r="P156" i="26"/>
  <c r="L225" i="26"/>
  <c r="N225" i="26" s="1"/>
  <c r="P225" i="26"/>
  <c r="Q225" i="26" s="1"/>
  <c r="L120" i="26"/>
  <c r="N120" i="26" s="1"/>
  <c r="P120" i="26"/>
  <c r="L125" i="26"/>
  <c r="N125" i="26" s="1"/>
  <c r="P125" i="26"/>
  <c r="L176" i="26"/>
  <c r="N176" i="26" s="1"/>
  <c r="P176" i="26"/>
  <c r="L131" i="26"/>
  <c r="N131" i="26" s="1"/>
  <c r="P131" i="26"/>
  <c r="L167" i="26"/>
  <c r="N167" i="26" s="1"/>
  <c r="P167" i="26"/>
  <c r="L97" i="26"/>
  <c r="N97" i="26" s="1"/>
  <c r="P97" i="26"/>
  <c r="L102" i="26"/>
  <c r="N102" i="26" s="1"/>
  <c r="P102" i="26"/>
  <c r="L292" i="26"/>
  <c r="N292" i="26" s="1"/>
  <c r="P292" i="26"/>
  <c r="L299" i="26"/>
  <c r="N299" i="26" s="1"/>
  <c r="P299" i="26"/>
  <c r="L308" i="26"/>
  <c r="N308" i="26" s="1"/>
  <c r="P308" i="26"/>
  <c r="L222" i="26"/>
  <c r="N222" i="26" s="1"/>
  <c r="P222" i="26"/>
  <c r="L312" i="26"/>
  <c r="N312" i="26" s="1"/>
  <c r="P312" i="26"/>
  <c r="L220" i="26"/>
  <c r="N220" i="26" s="1"/>
  <c r="P220" i="26"/>
  <c r="L223" i="26"/>
  <c r="N223" i="26" s="1"/>
  <c r="P223" i="26"/>
  <c r="L140" i="26"/>
  <c r="N140" i="26" s="1"/>
  <c r="P140" i="26"/>
  <c r="L162" i="26"/>
  <c r="N162" i="26" s="1"/>
  <c r="P162" i="26"/>
  <c r="L137" i="26"/>
  <c r="N137" i="26" s="1"/>
  <c r="P137" i="26"/>
  <c r="L170" i="26"/>
  <c r="N170" i="26" s="1"/>
  <c r="P170" i="26"/>
  <c r="L201" i="26"/>
  <c r="N201" i="26" s="1"/>
  <c r="P201" i="26"/>
  <c r="L121" i="26"/>
  <c r="N121" i="26" s="1"/>
  <c r="P121" i="26"/>
  <c r="L124" i="26"/>
  <c r="N124" i="26" s="1"/>
  <c r="P124" i="26"/>
  <c r="L175" i="26"/>
  <c r="N175" i="26" s="1"/>
  <c r="P175" i="26"/>
  <c r="L132" i="26"/>
  <c r="N132" i="26" s="1"/>
  <c r="P132" i="26"/>
  <c r="L168" i="26"/>
  <c r="N168" i="26" s="1"/>
  <c r="P168" i="26"/>
  <c r="L95" i="26"/>
  <c r="N95" i="26" s="1"/>
  <c r="P95" i="26"/>
  <c r="L106" i="26"/>
  <c r="N106" i="26" s="1"/>
  <c r="P106" i="26"/>
  <c r="L293" i="26"/>
  <c r="N293" i="26" s="1"/>
  <c r="P293" i="26"/>
  <c r="L109" i="26"/>
  <c r="N109" i="26" s="1"/>
  <c r="P109" i="26"/>
  <c r="L313" i="26"/>
  <c r="N313" i="26" s="1"/>
  <c r="P313" i="26"/>
  <c r="L221" i="26"/>
  <c r="N221" i="26" s="1"/>
  <c r="P221" i="26"/>
  <c r="L87" i="26"/>
  <c r="N87" i="26" s="1"/>
  <c r="P87" i="26"/>
  <c r="L149" i="26"/>
  <c r="N149" i="26" s="1"/>
  <c r="P149" i="26"/>
  <c r="L150" i="26"/>
  <c r="N150" i="26" s="1"/>
  <c r="P150" i="26"/>
  <c r="L123" i="26"/>
  <c r="N123" i="26" s="1"/>
  <c r="P123" i="26"/>
  <c r="L155" i="26"/>
  <c r="N155" i="26" s="1"/>
  <c r="P155" i="26"/>
  <c r="L261" i="26"/>
  <c r="N261" i="26" s="1"/>
  <c r="P261" i="26"/>
  <c r="L181" i="26"/>
  <c r="N181" i="26" s="1"/>
  <c r="P181" i="26"/>
  <c r="L122" i="26"/>
  <c r="N122" i="26" s="1"/>
  <c r="P122" i="26"/>
  <c r="L177" i="26"/>
  <c r="N177" i="26" s="1"/>
  <c r="P177" i="26"/>
  <c r="L134" i="26"/>
  <c r="N134" i="26" s="1"/>
  <c r="P134" i="26"/>
  <c r="L151" i="26"/>
  <c r="N151" i="26" s="1"/>
  <c r="P151" i="26"/>
  <c r="L96" i="26"/>
  <c r="N96" i="26" s="1"/>
  <c r="P96" i="26"/>
  <c r="L105" i="26"/>
  <c r="N105" i="26" s="1"/>
  <c r="P105" i="26"/>
  <c r="L280" i="26"/>
  <c r="N280" i="26" s="1"/>
  <c r="P280" i="26"/>
  <c r="L294" i="26"/>
  <c r="N294" i="26" s="1"/>
  <c r="P294" i="26"/>
  <c r="L192" i="26"/>
  <c r="N192" i="26" s="1"/>
  <c r="P192" i="26"/>
  <c r="L303" i="26"/>
  <c r="N303" i="26" s="1"/>
  <c r="P303" i="26"/>
  <c r="L216" i="26"/>
  <c r="N216" i="26" s="1"/>
  <c r="P216" i="26"/>
  <c r="L86" i="26"/>
  <c r="N86" i="26" s="1"/>
  <c r="P86" i="26"/>
  <c r="L163" i="26"/>
  <c r="N163" i="26" s="1"/>
  <c r="P163" i="26"/>
  <c r="L164" i="26"/>
  <c r="N164" i="26" s="1"/>
  <c r="P164" i="26"/>
  <c r="L143" i="26"/>
  <c r="N143" i="26" s="1"/>
  <c r="P143" i="26"/>
  <c r="L165" i="26"/>
  <c r="N165" i="26" s="1"/>
  <c r="P165" i="26"/>
  <c r="L251" i="26"/>
  <c r="N251" i="26" s="1"/>
  <c r="P251" i="26"/>
  <c r="L314" i="26"/>
  <c r="N314" i="26" s="1"/>
  <c r="P314" i="26"/>
  <c r="P209" i="26"/>
  <c r="Q209" i="26" s="1"/>
  <c r="L136" i="26"/>
  <c r="N136" i="26" s="1"/>
  <c r="P136" i="26"/>
  <c r="L214" i="26"/>
  <c r="N214" i="26" s="1"/>
  <c r="P214" i="26"/>
  <c r="L129" i="26"/>
  <c r="N129" i="26" s="1"/>
  <c r="P129" i="26"/>
  <c r="L114" i="26"/>
  <c r="N114" i="26" s="1"/>
  <c r="P114" i="26"/>
  <c r="L100" i="26"/>
  <c r="N100" i="26" s="1"/>
  <c r="P100" i="26"/>
  <c r="L239" i="26"/>
  <c r="N239" i="26" s="1"/>
  <c r="P239" i="26"/>
  <c r="L278" i="26"/>
  <c r="N278" i="26" s="1"/>
  <c r="P278" i="26"/>
  <c r="L300" i="26"/>
  <c r="N300" i="26" s="1"/>
  <c r="P300" i="26"/>
  <c r="L111" i="26"/>
  <c r="N111" i="26" s="1"/>
  <c r="P111" i="26"/>
  <c r="L142" i="26"/>
  <c r="N142" i="26" s="1"/>
  <c r="P142" i="26"/>
  <c r="L217" i="26"/>
  <c r="N217" i="26" s="1"/>
  <c r="P217" i="26"/>
  <c r="L85" i="26"/>
  <c r="N85" i="26" s="1"/>
  <c r="P85" i="26"/>
  <c r="L178" i="26"/>
  <c r="N178" i="26" s="1"/>
  <c r="P178" i="26"/>
  <c r="L154" i="26"/>
  <c r="N154" i="26" s="1"/>
  <c r="P154" i="26"/>
  <c r="L265" i="26"/>
  <c r="N265" i="26" s="1"/>
  <c r="P265" i="26"/>
  <c r="L190" i="26"/>
  <c r="N190" i="26" s="1"/>
  <c r="P190" i="26"/>
  <c r="L135" i="26"/>
  <c r="N135" i="26" s="1"/>
  <c r="P135" i="26"/>
  <c r="L253" i="26"/>
  <c r="N253" i="26" s="1"/>
  <c r="P253" i="26"/>
  <c r="L130" i="26"/>
  <c r="N130" i="26" s="1"/>
  <c r="P130" i="26"/>
  <c r="L115" i="26"/>
  <c r="N115" i="26" s="1"/>
  <c r="P115" i="26"/>
  <c r="L98" i="26"/>
  <c r="N98" i="26" s="1"/>
  <c r="P98" i="26"/>
  <c r="L81" i="26"/>
  <c r="N81" i="26" s="1"/>
  <c r="P81" i="26"/>
  <c r="L232" i="26"/>
  <c r="N232" i="26" s="1"/>
  <c r="P232" i="26"/>
  <c r="L279" i="26"/>
  <c r="N279" i="26" s="1"/>
  <c r="P279" i="26"/>
  <c r="L295" i="26"/>
  <c r="N295" i="26" s="1"/>
  <c r="P295" i="26"/>
  <c r="L110" i="26"/>
  <c r="N110" i="26" s="1"/>
  <c r="P110" i="26"/>
  <c r="L161" i="26"/>
  <c r="N161" i="26" s="1"/>
  <c r="P161" i="26"/>
  <c r="L218" i="26"/>
  <c r="N218" i="26" s="1"/>
  <c r="P218" i="26"/>
  <c r="L89" i="26"/>
  <c r="N89" i="26" s="1"/>
  <c r="P89" i="26"/>
  <c r="L179" i="26"/>
  <c r="N179" i="26" s="1"/>
  <c r="P179" i="26"/>
  <c r="L171" i="26"/>
  <c r="N171" i="26" s="1"/>
  <c r="P171" i="26"/>
  <c r="L211" i="26"/>
  <c r="N211" i="26" s="1"/>
  <c r="P211" i="26"/>
  <c r="L210" i="26"/>
  <c r="N210" i="26" s="1"/>
  <c r="P210" i="26"/>
  <c r="L128" i="26"/>
  <c r="N128" i="26" s="1"/>
  <c r="P128" i="26"/>
  <c r="L254" i="26"/>
  <c r="N254" i="26" s="1"/>
  <c r="P254" i="26"/>
  <c r="L133" i="26"/>
  <c r="N133" i="26" s="1"/>
  <c r="P133" i="26"/>
  <c r="L92" i="26"/>
  <c r="N92" i="26" s="1"/>
  <c r="P92" i="26"/>
  <c r="L99" i="26"/>
  <c r="N99" i="26" s="1"/>
  <c r="P99" i="26"/>
  <c r="L195" i="26"/>
  <c r="N195" i="26" s="1"/>
  <c r="P195" i="26"/>
  <c r="L286" i="26"/>
  <c r="N286" i="26" s="1"/>
  <c r="P286" i="26"/>
  <c r="L296" i="26"/>
  <c r="N296" i="26" s="1"/>
  <c r="P296" i="26"/>
  <c r="L339" i="26"/>
  <c r="N339" i="26" s="1"/>
  <c r="P339" i="26"/>
  <c r="L213" i="26"/>
  <c r="N213" i="26" s="1"/>
  <c r="P213" i="26"/>
  <c r="L291" i="26"/>
  <c r="N291" i="26" s="1"/>
  <c r="P291" i="26"/>
  <c r="L219" i="26"/>
  <c r="N219" i="26" s="1"/>
  <c r="P219" i="26"/>
  <c r="L224" i="26"/>
  <c r="N224" i="26" s="1"/>
  <c r="P224" i="26"/>
  <c r="L84" i="26"/>
  <c r="N84" i="26" s="1"/>
  <c r="P84" i="26"/>
  <c r="L276" i="26"/>
  <c r="N276" i="26" s="1"/>
  <c r="P276" i="26"/>
  <c r="L249" i="26"/>
  <c r="N249" i="26" s="1"/>
  <c r="P249" i="26"/>
  <c r="L250" i="26"/>
  <c r="N250" i="26" s="1"/>
  <c r="P250" i="26"/>
  <c r="L191" i="26"/>
  <c r="N191" i="26" s="1"/>
  <c r="P191" i="26"/>
  <c r="L307" i="26"/>
  <c r="N307" i="26" s="1"/>
  <c r="P307" i="26"/>
  <c r="L127" i="26"/>
  <c r="N127" i="26" s="1"/>
  <c r="P127" i="26"/>
  <c r="L283" i="26"/>
  <c r="N283" i="26" s="1"/>
  <c r="P283" i="26"/>
  <c r="L169" i="26"/>
  <c r="N169" i="26" s="1"/>
  <c r="P169" i="26"/>
  <c r="L93" i="26"/>
  <c r="N93" i="26" s="1"/>
  <c r="P93" i="26"/>
  <c r="L103" i="26"/>
  <c r="N103" i="26" s="1"/>
  <c r="P103" i="26"/>
  <c r="L288" i="26"/>
  <c r="N288" i="26" s="1"/>
  <c r="P288" i="26"/>
  <c r="L297" i="26"/>
  <c r="N297" i="26" s="1"/>
  <c r="P297" i="26"/>
  <c r="L328" i="26"/>
  <c r="N328" i="26" s="1"/>
  <c r="P328" i="26"/>
  <c r="L310" i="26"/>
  <c r="N310" i="26" s="1"/>
  <c r="P310" i="26"/>
  <c r="L141" i="26"/>
  <c r="N141" i="26" s="1"/>
  <c r="P141" i="26"/>
  <c r="L104" i="26"/>
  <c r="N104" i="26" s="1"/>
  <c r="P104" i="26"/>
  <c r="L113" i="26"/>
  <c r="N113" i="26" s="1"/>
  <c r="P113" i="26"/>
  <c r="L194" i="26"/>
  <c r="N194" i="26" s="1"/>
  <c r="P194" i="26"/>
  <c r="L88" i="26"/>
  <c r="N88" i="26" s="1"/>
  <c r="P88" i="26"/>
  <c r="L252" i="26"/>
  <c r="N252" i="26" s="1"/>
  <c r="P252" i="26"/>
  <c r="L212" i="26"/>
  <c r="N212" i="26" s="1"/>
  <c r="P212" i="26"/>
  <c r="L126" i="26"/>
  <c r="N126" i="26" s="1"/>
  <c r="P126" i="26"/>
  <c r="L180" i="26"/>
  <c r="N180" i="26" s="1"/>
  <c r="P180" i="26"/>
  <c r="L287" i="26"/>
  <c r="N287" i="26" s="1"/>
  <c r="P287" i="26"/>
  <c r="L166" i="26"/>
  <c r="N166" i="26" s="1"/>
  <c r="P166" i="26"/>
  <c r="L94" i="26"/>
  <c r="N94" i="26" s="1"/>
  <c r="P94" i="26"/>
  <c r="L101" i="26"/>
  <c r="N101" i="26" s="1"/>
  <c r="P101" i="26"/>
  <c r="L289" i="26"/>
  <c r="N289" i="26" s="1"/>
  <c r="P289" i="26"/>
  <c r="L298" i="26"/>
  <c r="N298" i="26" s="1"/>
  <c r="P298" i="26"/>
  <c r="L321" i="26"/>
  <c r="N321" i="26" s="1"/>
  <c r="P321" i="26"/>
  <c r="L337" i="26"/>
  <c r="N337" i="26" s="1"/>
  <c r="P337" i="26"/>
  <c r="L264" i="26"/>
  <c r="N264" i="26" s="1"/>
  <c r="P264" i="26"/>
  <c r="L257" i="26"/>
  <c r="N257" i="26" s="1"/>
  <c r="P257" i="26"/>
  <c r="L160" i="26"/>
  <c r="N160" i="26" s="1"/>
  <c r="P160" i="26"/>
  <c r="L263" i="26"/>
  <c r="N263" i="26" s="1"/>
  <c r="P263" i="26"/>
  <c r="L309" i="26"/>
  <c r="N309" i="26" s="1"/>
  <c r="P309" i="26"/>
  <c r="L290" i="26"/>
  <c r="N290" i="26" s="1"/>
  <c r="P290" i="26"/>
  <c r="L80" i="26"/>
  <c r="N80" i="26" s="1"/>
  <c r="P80" i="26"/>
  <c r="A23" i="26"/>
  <c r="S22" i="26"/>
  <c r="T22" i="26" s="1"/>
  <c r="Q29" i="26"/>
  <c r="S41" i="26"/>
  <c r="T41" i="26" s="1"/>
  <c r="Q23" i="26"/>
  <c r="S49" i="26"/>
  <c r="T49" i="26" s="1"/>
  <c r="S26" i="26"/>
  <c r="T26" i="26" s="1"/>
  <c r="Q47" i="26"/>
  <c r="S30" i="26"/>
  <c r="T30" i="26" s="1"/>
  <c r="S61" i="26"/>
  <c r="T61" i="26" s="1"/>
  <c r="S57" i="26"/>
  <c r="T57" i="26" s="1"/>
  <c r="Q39" i="26"/>
  <c r="Q31" i="26"/>
  <c r="Q60" i="26"/>
  <c r="S25" i="26"/>
  <c r="T25" i="26" s="1"/>
  <c r="S43" i="26"/>
  <c r="T43" i="26" s="1"/>
  <c r="Q28" i="26"/>
  <c r="Q51" i="26"/>
  <c r="Q62" i="26"/>
  <c r="Q42" i="26"/>
  <c r="S42" i="26"/>
  <c r="T42" i="26" s="1"/>
  <c r="S54" i="26"/>
  <c r="T54" i="26" s="1"/>
  <c r="Q54" i="26"/>
  <c r="S24" i="26"/>
  <c r="T24" i="26" s="1"/>
  <c r="Q24" i="26"/>
  <c r="Q21" i="26"/>
  <c r="S21" i="26"/>
  <c r="T21" i="26" s="1"/>
  <c r="Q50" i="26"/>
  <c r="S50" i="26"/>
  <c r="T50" i="26" s="1"/>
  <c r="S40" i="26"/>
  <c r="T40" i="26" s="1"/>
  <c r="Q40" i="26"/>
  <c r="S35" i="26"/>
  <c r="T35" i="26" s="1"/>
  <c r="Q35" i="26"/>
  <c r="S56" i="26"/>
  <c r="T56" i="26" s="1"/>
  <c r="Q56" i="26"/>
  <c r="S48" i="26"/>
  <c r="T48" i="26" s="1"/>
  <c r="Q48" i="26"/>
  <c r="S309" i="26" l="1"/>
  <c r="T309" i="26" s="1"/>
  <c r="S209" i="26"/>
  <c r="T209" i="26" s="1"/>
  <c r="S175" i="26"/>
  <c r="T175" i="26" s="1"/>
  <c r="S214" i="26"/>
  <c r="T214" i="26" s="1"/>
  <c r="Q163" i="26"/>
  <c r="S125" i="26"/>
  <c r="T125" i="26" s="1"/>
  <c r="S337" i="26"/>
  <c r="T337" i="26" s="1"/>
  <c r="Q133" i="26"/>
  <c r="S179" i="26"/>
  <c r="T179" i="26" s="1"/>
  <c r="S239" i="26"/>
  <c r="T239" i="26" s="1"/>
  <c r="Q314" i="26"/>
  <c r="S105" i="26"/>
  <c r="T105" i="26" s="1"/>
  <c r="Q181" i="26"/>
  <c r="S87" i="26"/>
  <c r="T87" i="26" s="1"/>
  <c r="S95" i="26"/>
  <c r="T95" i="26" s="1"/>
  <c r="Q201" i="26"/>
  <c r="Q120" i="26"/>
  <c r="S181" i="26"/>
  <c r="T181" i="26" s="1"/>
  <c r="Q165" i="26"/>
  <c r="Q150" i="26"/>
  <c r="S148" i="26"/>
  <c r="T148" i="26" s="1"/>
  <c r="Q313" i="26"/>
  <c r="Q307" i="26"/>
  <c r="S288" i="26"/>
  <c r="T288" i="26" s="1"/>
  <c r="S299" i="26"/>
  <c r="T299" i="26" s="1"/>
  <c r="S310" i="26"/>
  <c r="T310" i="26" s="1"/>
  <c r="Q178" i="26"/>
  <c r="Q253" i="26"/>
  <c r="S122" i="26"/>
  <c r="T122" i="26" s="1"/>
  <c r="S86" i="26"/>
  <c r="T86" i="26" s="1"/>
  <c r="S296" i="26"/>
  <c r="T296" i="26" s="1"/>
  <c r="S150" i="26"/>
  <c r="T150" i="26" s="1"/>
  <c r="S261" i="26"/>
  <c r="T261" i="26" s="1"/>
  <c r="S312" i="26"/>
  <c r="T312" i="26" s="1"/>
  <c r="S303" i="26"/>
  <c r="T303" i="26" s="1"/>
  <c r="S151" i="26"/>
  <c r="T151" i="26" s="1"/>
  <c r="Q155" i="26"/>
  <c r="Q132" i="26"/>
  <c r="Q222" i="26"/>
  <c r="S167" i="26"/>
  <c r="T167" i="26" s="1"/>
  <c r="Q156" i="26"/>
  <c r="S219" i="26"/>
  <c r="T219" i="26" s="1"/>
  <c r="Q210" i="26"/>
  <c r="S111" i="26"/>
  <c r="T111" i="26" s="1"/>
  <c r="Q109" i="26"/>
  <c r="S308" i="26"/>
  <c r="T308" i="26" s="1"/>
  <c r="Q115" i="26"/>
  <c r="S164" i="26"/>
  <c r="T164" i="26" s="1"/>
  <c r="Q177" i="26"/>
  <c r="S124" i="26"/>
  <c r="T124" i="26" s="1"/>
  <c r="Q140" i="26"/>
  <c r="Q176" i="26"/>
  <c r="Q265" i="26"/>
  <c r="Q257" i="26"/>
  <c r="S225" i="26"/>
  <c r="T225" i="26" s="1"/>
  <c r="S224" i="26"/>
  <c r="T224" i="26" s="1"/>
  <c r="Q220" i="26"/>
  <c r="S220" i="26"/>
  <c r="T220" i="26" s="1"/>
  <c r="Q216" i="26"/>
  <c r="S217" i="26"/>
  <c r="T217" i="26" s="1"/>
  <c r="S190" i="26"/>
  <c r="T190" i="26" s="1"/>
  <c r="S120" i="26"/>
  <c r="T120" i="26" s="1"/>
  <c r="S123" i="26"/>
  <c r="T123" i="26" s="1"/>
  <c r="Q121" i="26"/>
  <c r="S114" i="26"/>
  <c r="T114" i="26" s="1"/>
  <c r="S109" i="26"/>
  <c r="T109" i="26" s="1"/>
  <c r="Q113" i="26"/>
  <c r="Q110" i="26"/>
  <c r="Q100" i="26"/>
  <c r="S283" i="26"/>
  <c r="T283" i="26" s="1"/>
  <c r="S165" i="26"/>
  <c r="T165" i="26" s="1"/>
  <c r="Q167" i="26"/>
  <c r="S166" i="26"/>
  <c r="T166" i="26" s="1"/>
  <c r="S298" i="26"/>
  <c r="T298" i="26" s="1"/>
  <c r="S291" i="26"/>
  <c r="T291" i="26" s="1"/>
  <c r="Q276" i="26"/>
  <c r="Q286" i="26"/>
  <c r="S300" i="26"/>
  <c r="T300" i="26" s="1"/>
  <c r="S290" i="26"/>
  <c r="T290" i="26" s="1"/>
  <c r="S279" i="26"/>
  <c r="T279" i="26" s="1"/>
  <c r="S141" i="26"/>
  <c r="T141" i="26" s="1"/>
  <c r="S101" i="26"/>
  <c r="T101" i="26" s="1"/>
  <c r="S99" i="26"/>
  <c r="T99" i="26" s="1"/>
  <c r="Q88" i="26"/>
  <c r="Q93" i="26"/>
  <c r="Q85" i="26"/>
  <c r="Q87" i="26"/>
  <c r="S96" i="26"/>
  <c r="T96" i="26" s="1"/>
  <c r="Q106" i="26"/>
  <c r="S97" i="26"/>
  <c r="T97" i="26" s="1"/>
  <c r="Q86" i="26"/>
  <c r="Q95" i="26"/>
  <c r="S103" i="26"/>
  <c r="T103" i="26" s="1"/>
  <c r="S92" i="26"/>
  <c r="T92" i="26" s="1"/>
  <c r="S89" i="26"/>
  <c r="T89" i="26" s="1"/>
  <c r="S98" i="26"/>
  <c r="T98" i="26" s="1"/>
  <c r="S100" i="26"/>
  <c r="T100" i="26" s="1"/>
  <c r="Q142" i="26"/>
  <c r="S143" i="26"/>
  <c r="T143" i="26" s="1"/>
  <c r="Q149" i="26"/>
  <c r="S294" i="26"/>
  <c r="T294" i="26" s="1"/>
  <c r="S280" i="26"/>
  <c r="T280" i="26" s="1"/>
  <c r="Q292" i="26"/>
  <c r="S275" i="26"/>
  <c r="T275" i="26" s="1"/>
  <c r="S251" i="26"/>
  <c r="T251" i="26" s="1"/>
  <c r="Q250" i="26"/>
  <c r="S253" i="26"/>
  <c r="T253" i="26" s="1"/>
  <c r="Q249" i="26"/>
  <c r="S154" i="26"/>
  <c r="T154" i="26" s="1"/>
  <c r="S163" i="26"/>
  <c r="T163" i="26" s="1"/>
  <c r="S170" i="26"/>
  <c r="T170" i="26" s="1"/>
  <c r="S168" i="26"/>
  <c r="T168" i="26" s="1"/>
  <c r="Q162" i="26"/>
  <c r="Q135" i="26"/>
  <c r="Q134" i="26"/>
  <c r="Q137" i="26"/>
  <c r="Q136" i="26"/>
  <c r="Q125" i="26"/>
  <c r="S130" i="26"/>
  <c r="T130" i="26" s="1"/>
  <c r="Q124" i="26"/>
  <c r="S126" i="26"/>
  <c r="T126" i="26" s="1"/>
  <c r="S127" i="26"/>
  <c r="T127" i="26" s="1"/>
  <c r="S128" i="26"/>
  <c r="T128" i="26" s="1"/>
  <c r="S131" i="26"/>
  <c r="T131" i="26" s="1"/>
  <c r="S81" i="26"/>
  <c r="T81" i="26" s="1"/>
  <c r="Q214" i="26"/>
  <c r="Q264" i="26"/>
  <c r="S104" i="26"/>
  <c r="T104" i="26" s="1"/>
  <c r="S169" i="26"/>
  <c r="T169" i="26" s="1"/>
  <c r="S191" i="26"/>
  <c r="T191" i="26" s="1"/>
  <c r="Q213" i="26"/>
  <c r="S171" i="26"/>
  <c r="T171" i="26" s="1"/>
  <c r="Q161" i="26"/>
  <c r="Q232" i="26"/>
  <c r="Q130" i="26"/>
  <c r="S129" i="26"/>
  <c r="T129" i="26" s="1"/>
  <c r="S134" i="26"/>
  <c r="T134" i="26" s="1"/>
  <c r="Q280" i="26"/>
  <c r="S292" i="26"/>
  <c r="T292" i="26" s="1"/>
  <c r="Q123" i="26"/>
  <c r="Q128" i="26"/>
  <c r="Q97" i="26"/>
  <c r="S106" i="26"/>
  <c r="T106" i="26" s="1"/>
  <c r="Q308" i="26"/>
  <c r="Q170" i="26"/>
  <c r="Q81" i="26"/>
  <c r="S110" i="26"/>
  <c r="T110" i="26" s="1"/>
  <c r="S250" i="26"/>
  <c r="T250" i="26" s="1"/>
  <c r="Q283" i="26"/>
  <c r="Q154" i="26"/>
  <c r="Q239" i="26"/>
  <c r="S293" i="26"/>
  <c r="T293" i="26" s="1"/>
  <c r="Q141" i="26"/>
  <c r="S133" i="26"/>
  <c r="T133" i="26" s="1"/>
  <c r="S93" i="26"/>
  <c r="T93" i="26" s="1"/>
  <c r="Q219" i="26"/>
  <c r="Q275" i="26"/>
  <c r="S136" i="26"/>
  <c r="T136" i="26" s="1"/>
  <c r="Q131" i="26"/>
  <c r="Q92" i="26"/>
  <c r="Q312" i="26"/>
  <c r="Q89" i="26"/>
  <c r="S210" i="26"/>
  <c r="T210" i="26" s="1"/>
  <c r="Q296" i="26"/>
  <c r="S295" i="26"/>
  <c r="T295" i="26" s="1"/>
  <c r="Q111" i="26"/>
  <c r="Q261" i="26"/>
  <c r="Q84" i="26"/>
  <c r="S195" i="26"/>
  <c r="T195" i="26" s="1"/>
  <c r="Q122" i="26"/>
  <c r="Q190" i="26"/>
  <c r="S85" i="26"/>
  <c r="T85" i="26" s="1"/>
  <c r="S180" i="26"/>
  <c r="T180" i="26" s="1"/>
  <c r="Q114" i="26"/>
  <c r="Q148" i="26"/>
  <c r="S80" i="26"/>
  <c r="T80" i="26" s="1"/>
  <c r="Q321" i="26"/>
  <c r="Q194" i="26"/>
  <c r="S249" i="26"/>
  <c r="T249" i="26" s="1"/>
  <c r="S113" i="26"/>
  <c r="T113" i="26" s="1"/>
  <c r="Q337" i="26"/>
  <c r="S212" i="26"/>
  <c r="T212" i="26" s="1"/>
  <c r="S339" i="26"/>
  <c r="T339" i="26" s="1"/>
  <c r="Q339" i="26"/>
  <c r="S328" i="26"/>
  <c r="T328" i="26" s="1"/>
  <c r="Q328" i="26"/>
  <c r="S314" i="26"/>
  <c r="T314" i="26" s="1"/>
  <c r="Q310" i="26"/>
  <c r="Q309" i="26"/>
  <c r="S307" i="26"/>
  <c r="T307" i="26" s="1"/>
  <c r="S276" i="26"/>
  <c r="T276" i="26" s="1"/>
  <c r="Q279" i="26"/>
  <c r="Q291" i="26"/>
  <c r="Q289" i="26"/>
  <c r="S287" i="26"/>
  <c r="T287" i="26" s="1"/>
  <c r="S297" i="26"/>
  <c r="T297" i="26" s="1"/>
  <c r="S278" i="26"/>
  <c r="T278" i="26" s="1"/>
  <c r="Q288" i="26"/>
  <c r="Q298" i="26"/>
  <c r="Q299" i="26"/>
  <c r="S286" i="26"/>
  <c r="T286" i="26" s="1"/>
  <c r="Q294" i="26"/>
  <c r="Q300" i="26"/>
  <c r="S289" i="26"/>
  <c r="T289" i="26" s="1"/>
  <c r="Q295" i="26"/>
  <c r="S277" i="26"/>
  <c r="T277" i="26" s="1"/>
  <c r="S264" i="26"/>
  <c r="T264" i="26" s="1"/>
  <c r="S265" i="26"/>
  <c r="T265" i="26" s="1"/>
  <c r="S263" i="26"/>
  <c r="T263" i="26" s="1"/>
  <c r="Q263" i="26"/>
  <c r="S257" i="26"/>
  <c r="T257" i="26" s="1"/>
  <c r="S254" i="26"/>
  <c r="T254" i="26" s="1"/>
  <c r="Q252" i="26"/>
  <c r="Q251" i="26"/>
  <c r="S252" i="26"/>
  <c r="T252" i="26" s="1"/>
  <c r="Q224" i="26"/>
  <c r="S223" i="26"/>
  <c r="T223" i="26" s="1"/>
  <c r="Q223" i="26"/>
  <c r="S221" i="26"/>
  <c r="T221" i="26" s="1"/>
  <c r="S218" i="26"/>
  <c r="T218" i="26" s="1"/>
  <c r="Q218" i="26"/>
  <c r="Q217" i="26"/>
  <c r="S216" i="26"/>
  <c r="T216" i="26" s="1"/>
  <c r="Q212" i="26"/>
  <c r="S211" i="26"/>
  <c r="T211" i="26" s="1"/>
  <c r="Q211" i="26"/>
  <c r="S192" i="26"/>
  <c r="T192" i="26" s="1"/>
  <c r="Q192" i="26"/>
  <c r="Q175" i="26"/>
  <c r="Q179" i="26"/>
  <c r="S178" i="26"/>
  <c r="T178" i="26" s="1"/>
  <c r="S176" i="26"/>
  <c r="T176" i="26" s="1"/>
  <c r="Q180" i="26"/>
  <c r="S177" i="26"/>
  <c r="T177" i="26" s="1"/>
  <c r="S162" i="26"/>
  <c r="T162" i="26" s="1"/>
  <c r="Q168" i="26"/>
  <c r="Q160" i="26"/>
  <c r="Q166" i="26"/>
  <c r="S149" i="26"/>
  <c r="T149" i="26" s="1"/>
  <c r="Q143" i="26"/>
  <c r="Q127" i="26"/>
  <c r="S135" i="26"/>
  <c r="T135" i="26" s="1"/>
  <c r="S137" i="26"/>
  <c r="T137" i="26" s="1"/>
  <c r="Q126" i="26"/>
  <c r="S121" i="26"/>
  <c r="T121" i="26" s="1"/>
  <c r="S155" i="26"/>
  <c r="T155" i="26" s="1"/>
  <c r="S142" i="26"/>
  <c r="T142" i="26" s="1"/>
  <c r="Q129" i="26"/>
  <c r="S140" i="26"/>
  <c r="T140" i="26" s="1"/>
  <c r="S156" i="26"/>
  <c r="T156" i="26" s="1"/>
  <c r="S161" i="26"/>
  <c r="T161" i="26" s="1"/>
  <c r="S132" i="26"/>
  <c r="T132" i="26" s="1"/>
  <c r="Q164" i="26"/>
  <c r="Q169" i="26"/>
  <c r="S115" i="26"/>
  <c r="T115" i="26" s="1"/>
  <c r="S102" i="26"/>
  <c r="T102" i="26" s="1"/>
  <c r="Q102" i="26"/>
  <c r="Q101" i="26"/>
  <c r="Q94" i="26"/>
  <c r="Q99" i="26"/>
  <c r="Q96" i="26"/>
  <c r="Q98" i="26"/>
  <c r="Q103" i="26"/>
  <c r="S88" i="26"/>
  <c r="T88" i="26" s="1"/>
  <c r="S94" i="26"/>
  <c r="T94" i="26" s="1"/>
  <c r="Q278" i="26"/>
  <c r="S213" i="26"/>
  <c r="T213" i="26" s="1"/>
  <c r="S232" i="26"/>
  <c r="T232" i="26" s="1"/>
  <c r="Q105" i="26"/>
  <c r="S222" i="26"/>
  <c r="T222" i="26" s="1"/>
  <c r="Q287" i="26"/>
  <c r="S201" i="26"/>
  <c r="T201" i="26" s="1"/>
  <c r="Q171" i="26"/>
  <c r="Q254" i="26"/>
  <c r="Q293" i="26"/>
  <c r="Q104" i="26"/>
  <c r="Q290" i="26"/>
  <c r="Q195" i="26"/>
  <c r="Q303" i="26"/>
  <c r="Q191" i="26"/>
  <c r="S84" i="26"/>
  <c r="T84" i="26" s="1"/>
  <c r="Q80" i="26"/>
  <c r="S160" i="26"/>
  <c r="T160" i="26" s="1"/>
  <c r="S321" i="26"/>
  <c r="T321" i="26" s="1"/>
  <c r="S194" i="26"/>
  <c r="T194" i="26" s="1"/>
  <c r="Q151" i="26"/>
  <c r="S313" i="26"/>
  <c r="T313" i="26" s="1"/>
  <c r="Q297" i="26"/>
  <c r="Q221" i="26"/>
  <c r="A24" i="26"/>
  <c r="P346" i="26"/>
  <c r="U18" i="26" l="1"/>
  <c r="R272" i="26"/>
  <c r="R246" i="26"/>
  <c r="R75" i="26"/>
  <c r="A25" i="26"/>
  <c r="A26" i="26" l="1"/>
  <c r="P348" i="26"/>
  <c r="Q348" i="26" s="1"/>
  <c r="R348" i="26" s="1"/>
  <c r="E6" i="26"/>
  <c r="P347" i="26"/>
  <c r="E5" i="26"/>
  <c r="K65" i="26" l="1"/>
  <c r="L65" i="26" s="1"/>
  <c r="N65" i="26" s="1"/>
  <c r="K36" i="26"/>
  <c r="L36" i="26" s="1"/>
  <c r="N36" i="26" s="1"/>
  <c r="K44" i="26"/>
  <c r="L44" i="26" s="1"/>
  <c r="N44" i="26" s="1"/>
  <c r="K34" i="26"/>
  <c r="L34" i="26" s="1"/>
  <c r="N34" i="26" s="1"/>
  <c r="K27" i="26"/>
  <c r="L27" i="26" s="1"/>
  <c r="A27" i="26"/>
  <c r="A28" i="26" s="1"/>
  <c r="A29" i="26" s="1"/>
  <c r="A30" i="26" s="1"/>
  <c r="A31" i="26" s="1"/>
  <c r="A34" i="26" s="1"/>
  <c r="L55" i="26"/>
  <c r="N55" i="26" s="1"/>
  <c r="C5" i="31"/>
  <c r="C8" i="31"/>
  <c r="C7" i="31"/>
  <c r="Q347" i="26"/>
  <c r="R347" i="26" s="1"/>
  <c r="P350" i="26"/>
  <c r="P351" i="26" s="1"/>
  <c r="A35" i="26" l="1"/>
  <c r="L346" i="26"/>
  <c r="S55" i="26"/>
  <c r="T55" i="26" s="1"/>
  <c r="Q55" i="26"/>
  <c r="F7" i="31"/>
  <c r="F8" i="31"/>
  <c r="Q34" i="26"/>
  <c r="S34" i="26"/>
  <c r="T34" i="26" s="1"/>
  <c r="N27" i="26"/>
  <c r="N346" i="26" s="1"/>
  <c r="S36" i="26"/>
  <c r="T36" i="26" s="1"/>
  <c r="Q36" i="26"/>
  <c r="S44" i="26"/>
  <c r="T44" i="26" s="1"/>
  <c r="Q44" i="26"/>
  <c r="S65" i="26"/>
  <c r="T65" i="26" s="1"/>
  <c r="Q65" i="26"/>
  <c r="A36" i="26" l="1"/>
  <c r="A39" i="26" s="1"/>
  <c r="S27" i="26"/>
  <c r="T27" i="26" s="1"/>
  <c r="T346" i="26" s="1"/>
  <c r="T351" i="26" s="1"/>
  <c r="Q27" i="26"/>
  <c r="Q346" i="26" s="1"/>
  <c r="A40" i="26" l="1"/>
  <c r="A41" i="26" s="1"/>
  <c r="A42" i="26" s="1"/>
  <c r="A43" i="26" s="1"/>
  <c r="A44" i="26" s="1"/>
  <c r="A47" i="26" s="1"/>
  <c r="A48" i="26" s="1"/>
  <c r="A49" i="26" s="1"/>
  <c r="A50" i="26" s="1"/>
  <c r="A51" i="26" s="1"/>
  <c r="A54" i="26" s="1"/>
  <c r="A55" i="26" s="1"/>
  <c r="A56" i="26" s="1"/>
  <c r="R18" i="26"/>
  <c r="R346" i="26" s="1"/>
  <c r="N349" i="26"/>
  <c r="E7" i="26"/>
  <c r="A57" i="26" l="1"/>
  <c r="A60" i="26" s="1"/>
  <c r="A61" i="26" s="1"/>
  <c r="A62" i="26" s="1"/>
  <c r="Q349" i="26"/>
  <c r="R349" i="26" s="1"/>
  <c r="N350" i="26"/>
  <c r="Q350" i="26" s="1"/>
  <c r="R350" i="26" s="1"/>
  <c r="C6" i="31"/>
  <c r="E4" i="26"/>
  <c r="A65" i="26" l="1"/>
  <c r="A71" i="26" s="1"/>
  <c r="A72" i="26" s="1"/>
  <c r="A73" i="26" s="1"/>
  <c r="A80" i="26" s="1"/>
  <c r="A81" i="26" s="1"/>
  <c r="A84" i="26" s="1"/>
  <c r="A85" i="26" s="1"/>
  <c r="A86" i="26" s="1"/>
  <c r="A87" i="26" s="1"/>
  <c r="A88" i="26" s="1"/>
  <c r="A89" i="26" s="1"/>
  <c r="A92" i="26" s="1"/>
  <c r="A93" i="26" s="1"/>
  <c r="A94" i="26" s="1"/>
  <c r="A95" i="26" s="1"/>
  <c r="A96" i="26" s="1"/>
  <c r="A97" i="26" s="1"/>
  <c r="A98" i="26" s="1"/>
  <c r="A99" i="26" s="1"/>
  <c r="A100" i="26" s="1"/>
  <c r="A101" i="26" s="1"/>
  <c r="A102" i="26" s="1"/>
  <c r="A103" i="26" s="1"/>
  <c r="A104" i="26" s="1"/>
  <c r="A105" i="26" s="1"/>
  <c r="A106" i="26" s="1"/>
  <c r="A109" i="26" s="1"/>
  <c r="A110" i="26" s="1"/>
  <c r="A111" i="26" s="1"/>
  <c r="A113" i="26" s="1"/>
  <c r="A114" i="26" s="1"/>
  <c r="A115" i="26" s="1"/>
  <c r="A120" i="26" s="1"/>
  <c r="A121" i="26" s="1"/>
  <c r="A122" i="26" s="1"/>
  <c r="A123" i="26" s="1"/>
  <c r="A124" i="26" s="1"/>
  <c r="A125" i="26" s="1"/>
  <c r="A126" i="26" s="1"/>
  <c r="A127" i="26" s="1"/>
  <c r="A128" i="26" s="1"/>
  <c r="A129" i="26" s="1"/>
  <c r="A130" i="26" s="1"/>
  <c r="A131" i="26" s="1"/>
  <c r="A132" i="26" s="1"/>
  <c r="A133" i="26" s="1"/>
  <c r="A134" i="26" s="1"/>
  <c r="A135" i="26" s="1"/>
  <c r="A136" i="26" s="1"/>
  <c r="A137" i="26" s="1"/>
  <c r="A140" i="26" s="1"/>
  <c r="A141" i="26" s="1"/>
  <c r="A142" i="26" s="1"/>
  <c r="A143" i="26" s="1"/>
  <c r="A148" i="26" s="1"/>
  <c r="A149" i="26" s="1"/>
  <c r="A150" i="26" s="1"/>
  <c r="A151" i="26" s="1"/>
  <c r="A154" i="26" s="1"/>
  <c r="A155" i="26" s="1"/>
  <c r="A156" i="26" s="1"/>
  <c r="A160" i="26" s="1"/>
  <c r="A161" i="26" s="1"/>
  <c r="A162" i="26" s="1"/>
  <c r="A163" i="26" s="1"/>
  <c r="A164" i="26" s="1"/>
  <c r="A165" i="26" s="1"/>
  <c r="A166" i="26" s="1"/>
  <c r="A167" i="26" s="1"/>
  <c r="A168" i="26" s="1"/>
  <c r="A169" i="26" s="1"/>
  <c r="A170" i="26" s="1"/>
  <c r="A171" i="26" s="1"/>
  <c r="A175" i="26" s="1"/>
  <c r="A176" i="26" s="1"/>
  <c r="A177" i="26" s="1"/>
  <c r="A178" i="26" s="1"/>
  <c r="A179" i="26" s="1"/>
  <c r="A180" i="26" s="1"/>
  <c r="A181" i="26" s="1"/>
  <c r="A182" i="26" s="1"/>
  <c r="A183" i="26" s="1"/>
  <c r="A184" i="26" s="1"/>
  <c r="A185" i="26" s="1"/>
  <c r="A186" i="26" s="1"/>
  <c r="A190" i="26" s="1"/>
  <c r="A191" i="26" s="1"/>
  <c r="A192" i="26" s="1"/>
  <c r="A194" i="26" s="1"/>
  <c r="A195" i="26" s="1"/>
  <c r="A196" i="26" s="1"/>
  <c r="A197" i="26" s="1"/>
  <c r="A198" i="26" s="1"/>
  <c r="A199" i="26" s="1"/>
  <c r="A200" i="26" s="1"/>
  <c r="A201" i="26" s="1"/>
  <c r="A202" i="26" s="1"/>
  <c r="A203" i="26" s="1"/>
  <c r="A204" i="26" s="1"/>
  <c r="A205" i="26" s="1"/>
  <c r="A206" i="26" s="1"/>
  <c r="A209" i="26" s="1"/>
  <c r="A210" i="26" s="1"/>
  <c r="A211" i="26" s="1"/>
  <c r="A212" i="26" s="1"/>
  <c r="A213" i="26" s="1"/>
  <c r="A214" i="26" s="1"/>
  <c r="A216" i="26" s="1"/>
  <c r="A217" i="26" s="1"/>
  <c r="A218" i="26" s="1"/>
  <c r="A219" i="26" s="1"/>
  <c r="A220" i="26" s="1"/>
  <c r="A221" i="26" s="1"/>
  <c r="A222" i="26" s="1"/>
  <c r="A223" i="26" s="1"/>
  <c r="A224" i="26" s="1"/>
  <c r="A225" i="26" s="1"/>
  <c r="A226" i="26" s="1"/>
  <c r="A227" i="26" s="1"/>
  <c r="A228" i="26" s="1"/>
  <c r="A229" i="26" s="1"/>
  <c r="A230" i="26" s="1"/>
  <c r="A232" i="26" s="1"/>
  <c r="A233" i="26" s="1"/>
  <c r="A234" i="26" s="1"/>
  <c r="A235" i="26" s="1"/>
  <c r="A236" i="26" s="1"/>
  <c r="A237" i="26" s="1"/>
  <c r="A239" i="26" s="1"/>
  <c r="A240" i="26" s="1"/>
  <c r="A241" i="26" s="1"/>
  <c r="A242" i="26" s="1"/>
  <c r="A243" i="26" s="1"/>
  <c r="A244" i="26" s="1"/>
  <c r="A249" i="26" s="1"/>
  <c r="A250" i="26" s="1"/>
  <c r="A251" i="26" s="1"/>
  <c r="A252" i="26" s="1"/>
  <c r="A253" i="26" s="1"/>
  <c r="A254" i="26" s="1"/>
  <c r="A257" i="26" s="1"/>
  <c r="A261" i="26" s="1"/>
  <c r="A269" i="26" s="1"/>
  <c r="A270" i="26" s="1"/>
  <c r="A275" i="26" s="1"/>
  <c r="A276" i="26" s="1"/>
  <c r="A277" i="26" s="1"/>
  <c r="A278" i="26" s="1"/>
  <c r="A279" i="26" s="1"/>
  <c r="A280" i="26" s="1"/>
  <c r="A283" i="26" s="1"/>
  <c r="A286" i="26" s="1"/>
  <c r="A287" i="26" s="1"/>
  <c r="A288" i="26" s="1"/>
  <c r="A289" i="26" s="1"/>
  <c r="A290" i="26" s="1"/>
  <c r="A291" i="26" s="1"/>
  <c r="A292" i="26" s="1"/>
  <c r="A293" i="26" s="1"/>
  <c r="A294" i="26" s="1"/>
  <c r="A295" i="26" s="1"/>
  <c r="A296" i="26" s="1"/>
  <c r="A297" i="26" s="1"/>
  <c r="A298" i="26" s="1"/>
  <c r="A299" i="26" s="1"/>
  <c r="A300" i="26" s="1"/>
  <c r="A303" i="26" s="1"/>
  <c r="A307" i="26" s="1"/>
  <c r="A308" i="26" s="1"/>
  <c r="A309" i="26" s="1"/>
  <c r="A310" i="26" s="1"/>
  <c r="A312" i="26" s="1"/>
  <c r="A313" i="26" s="1"/>
  <c r="A314" i="26" s="1"/>
  <c r="A315" i="26" s="1"/>
  <c r="A316" i="26" s="1"/>
  <c r="A317" i="26" s="1"/>
  <c r="A318" i="26" s="1"/>
  <c r="A319" i="26" s="1"/>
  <c r="A321" i="26" s="1"/>
  <c r="A322" i="26" s="1"/>
  <c r="A323" i="26" s="1"/>
  <c r="A324" i="26" s="1"/>
  <c r="A325" i="26" s="1"/>
  <c r="A326" i="26" s="1"/>
  <c r="A328" i="26" s="1"/>
  <c r="A329" i="26" s="1"/>
  <c r="A330" i="26" s="1"/>
  <c r="A331" i="26" s="1"/>
  <c r="A332" i="26" s="1"/>
  <c r="A333" i="26" s="1"/>
  <c r="A337" i="26" s="1"/>
  <c r="A339" i="26" s="1"/>
  <c r="R351" i="26"/>
  <c r="N351" i="26"/>
  <c r="Q351" i="26"/>
  <c r="E8" i="26"/>
  <c r="E9" i="26" s="1"/>
  <c r="D10" i="12" s="1"/>
  <c r="L6" i="12" s="1"/>
  <c r="C9" i="31"/>
  <c r="C10" i="31"/>
  <c r="A340" i="26" l="1"/>
  <c r="A341" i="26" s="1"/>
  <c r="A342" i="26" s="1"/>
  <c r="A343" i="26" s="1"/>
  <c r="A344" i="26" s="1"/>
  <c r="C11" i="31"/>
  <c r="D10" i="31" s="1"/>
  <c r="F10" i="31"/>
  <c r="F9" i="31"/>
  <c r="D8" i="31" l="1"/>
  <c r="D5" i="31"/>
  <c r="D7" i="31"/>
  <c r="D9" i="31"/>
  <c r="D6" i="31"/>
</calcChain>
</file>

<file path=xl/sharedStrings.xml><?xml version="1.0" encoding="utf-8"?>
<sst xmlns="http://schemas.openxmlformats.org/spreadsheetml/2006/main" count="2669" uniqueCount="925">
  <si>
    <t>Project Dashboard</t>
  </si>
  <si>
    <t xml:space="preserve">      </t>
  </si>
  <si>
    <t xml:space="preserve">            Contentration of Sub-Contractor Cost</t>
  </si>
  <si>
    <t>Pie Chart:</t>
  </si>
  <si>
    <t>Type</t>
  </si>
  <si>
    <t>Amount</t>
  </si>
  <si>
    <t>Material</t>
  </si>
  <si>
    <t>Labor</t>
  </si>
  <si>
    <t>Percentage</t>
  </si>
  <si>
    <t>Material Tax</t>
  </si>
  <si>
    <t>Overhead &amp; Profit (Material)</t>
  </si>
  <si>
    <t>Overhead &amp; Profit (Labor)</t>
  </si>
  <si>
    <t>Bond Fee</t>
  </si>
  <si>
    <t>OH &amp; P on subnotes</t>
  </si>
  <si>
    <t>COST SUMMARY</t>
  </si>
  <si>
    <t>Date:</t>
  </si>
  <si>
    <t xml:space="preserve">Project Type: </t>
  </si>
  <si>
    <t>Project:</t>
  </si>
  <si>
    <t>Scope of Work:</t>
  </si>
  <si>
    <t>Project Location:</t>
  </si>
  <si>
    <t>Total Base Bid:</t>
  </si>
  <si>
    <t>BASE BID
/ALTERNATES/ALLOWANCES</t>
  </si>
  <si>
    <t>TOTAL
COSTS</t>
  </si>
  <si>
    <t>Please enter the sub-quotes in column R (Highlighted orange) against each division/trade and update the Overhead &amp; Profit % as required below; column K will be updated automatically with Subquotes with OH&amp;P. If there is no value entered in column R, the cost from column J (by DE) will be picked.</t>
  </si>
  <si>
    <t xml:space="preserve">Base Bid </t>
  </si>
  <si>
    <t>Hourly Rates Tab</t>
  </si>
  <si>
    <t>OH&amp;P on Subquotes</t>
  </si>
  <si>
    <t>DIV-01</t>
  </si>
  <si>
    <t>General Requirements</t>
  </si>
  <si>
    <t>DIV-02</t>
  </si>
  <si>
    <t>DIV-03</t>
  </si>
  <si>
    <t>DIV-04</t>
  </si>
  <si>
    <t>DIV-05</t>
  </si>
  <si>
    <t>DIV-06</t>
  </si>
  <si>
    <t>DIV-07</t>
  </si>
  <si>
    <t>DIV-08</t>
  </si>
  <si>
    <t>DIV-09</t>
  </si>
  <si>
    <t>DIV-10</t>
  </si>
  <si>
    <t>DIV-11</t>
  </si>
  <si>
    <t>Equipment</t>
  </si>
  <si>
    <t>DIV-12</t>
  </si>
  <si>
    <t>DIV-13</t>
  </si>
  <si>
    <t>Special Construction</t>
  </si>
  <si>
    <t>DIV-14</t>
  </si>
  <si>
    <t>DIV-21</t>
  </si>
  <si>
    <t>Fire Suppression</t>
  </si>
  <si>
    <t>DIV-22</t>
  </si>
  <si>
    <t>DIV-23</t>
  </si>
  <si>
    <t>DIV-26</t>
  </si>
  <si>
    <t>Electrical</t>
  </si>
  <si>
    <t>DIV-27</t>
  </si>
  <si>
    <t>DIV-31</t>
  </si>
  <si>
    <t>DIV-32</t>
  </si>
  <si>
    <t>DIV-33</t>
  </si>
  <si>
    <t>Utilities</t>
  </si>
  <si>
    <t>SUB TOTAL</t>
  </si>
  <si>
    <t>MATERIAL TAX</t>
  </si>
  <si>
    <t>TOTAL BASE BID</t>
  </si>
  <si>
    <t>Sub Contractor</t>
  </si>
  <si>
    <t>Accessories</t>
  </si>
  <si>
    <t>Acoustical and Metal Ceiling</t>
  </si>
  <si>
    <t>Appliances</t>
  </si>
  <si>
    <t>Asbestos Worker</t>
  </si>
  <si>
    <t>Awnings / Canopies</t>
  </si>
  <si>
    <t>Cabinetry</t>
  </si>
  <si>
    <t>Carpenter Millwork</t>
  </si>
  <si>
    <t>Ceiling - Others</t>
  </si>
  <si>
    <t>Cladding - Metal</t>
  </si>
  <si>
    <t>Cladding - Wood</t>
  </si>
  <si>
    <t>Cladding - Other</t>
  </si>
  <si>
    <t>Clean - Power Wash</t>
  </si>
  <si>
    <t>Clearing &amp; Grubbing</t>
  </si>
  <si>
    <t>Communication</t>
  </si>
  <si>
    <t>Concrete - Building</t>
  </si>
  <si>
    <t>Countertops</t>
  </si>
  <si>
    <t>Curtain Wall</t>
  </si>
  <si>
    <t>Demo - Building</t>
  </si>
  <si>
    <t>Demo - Site</t>
  </si>
  <si>
    <t>Dewatering</t>
  </si>
  <si>
    <t>Doors &amp; Hardware</t>
  </si>
  <si>
    <t>Dry Waller</t>
  </si>
  <si>
    <t>Earth worker</t>
  </si>
  <si>
    <t>Electrician</t>
  </si>
  <si>
    <t>Electronic Safety and Security (FA)</t>
  </si>
  <si>
    <t>Elevator</t>
  </si>
  <si>
    <t>Erosion Control</t>
  </si>
  <si>
    <t>Exterior  improvements</t>
  </si>
  <si>
    <t>Exterior Painter</t>
  </si>
  <si>
    <t>Exterior Signage</t>
  </si>
  <si>
    <t>Fencing and Gates - Metal</t>
  </si>
  <si>
    <t>Fencing and Gates - Wood</t>
  </si>
  <si>
    <t>Fencing and Gates - Other</t>
  </si>
  <si>
    <t>Finish Carpenter</t>
  </si>
  <si>
    <t>Fire Proofing</t>
  </si>
  <si>
    <t>Fireplace</t>
  </si>
  <si>
    <t>Flooring</t>
  </si>
  <si>
    <t>Folding/Moveable Partition</t>
  </si>
  <si>
    <t>Framer Cold Form</t>
  </si>
  <si>
    <t>Framer Light Gauge</t>
  </si>
  <si>
    <t>Framer Lumber</t>
  </si>
  <si>
    <t>Framer Rough Carpenter</t>
  </si>
  <si>
    <t>Furniture</t>
  </si>
  <si>
    <t>Glazier</t>
  </si>
  <si>
    <t>Hazardous Material Handler</t>
  </si>
  <si>
    <t>Insulation</t>
  </si>
  <si>
    <t>Interior Painter</t>
  </si>
  <si>
    <t>Interior Signage</t>
  </si>
  <si>
    <t>Irrigation</t>
  </si>
  <si>
    <t>Joint Sealants</t>
  </si>
  <si>
    <t>Landscaper</t>
  </si>
  <si>
    <t>Mailboxes</t>
  </si>
  <si>
    <t>Mason - Brick Veneer</t>
  </si>
  <si>
    <t>Mason - Cast Stone</t>
  </si>
  <si>
    <t>Mason - CMU</t>
  </si>
  <si>
    <t>Mechanical</t>
  </si>
  <si>
    <t>Millwork</t>
  </si>
  <si>
    <t>Ornamental Steel</t>
  </si>
  <si>
    <t>Paneling - Metal</t>
  </si>
  <si>
    <t>Paneling - Wood</t>
  </si>
  <si>
    <t>Paneling - Other</t>
  </si>
  <si>
    <t>Paving</t>
  </si>
  <si>
    <t>Pergolas</t>
  </si>
  <si>
    <t>Piling</t>
  </si>
  <si>
    <t>Playground Equipment</t>
  </si>
  <si>
    <t>Plumber</t>
  </si>
  <si>
    <t>Pool</t>
  </si>
  <si>
    <t>Precast Concrete</t>
  </si>
  <si>
    <t>Pre-Engineered Metal Building</t>
  </si>
  <si>
    <t>Roof Sheathing</t>
  </si>
  <si>
    <t>Roofer</t>
  </si>
  <si>
    <t>Sheathing</t>
  </si>
  <si>
    <t>Shoring/SOE</t>
  </si>
  <si>
    <t>Siding Contractor</t>
  </si>
  <si>
    <t>Site Concrete</t>
  </si>
  <si>
    <t>Site Electrical</t>
  </si>
  <si>
    <t>Site Furnishing</t>
  </si>
  <si>
    <t>Site Paint</t>
  </si>
  <si>
    <t>Site Signage</t>
  </si>
  <si>
    <t>Skylight</t>
  </si>
  <si>
    <t>Staircases and Railings - Metal</t>
  </si>
  <si>
    <t>Staircases and Railings - Wood</t>
  </si>
  <si>
    <t>Storefront</t>
  </si>
  <si>
    <t>Structural Steel</t>
  </si>
  <si>
    <t>Stucco - EIFS</t>
  </si>
  <si>
    <t>Tiler</t>
  </si>
  <si>
    <t xml:space="preserve">Toilet Partitions </t>
  </si>
  <si>
    <t>Traffic Control</t>
  </si>
  <si>
    <t>Trellis</t>
  </si>
  <si>
    <t>Truss</t>
  </si>
  <si>
    <t>Wall Covering</t>
  </si>
  <si>
    <t>Water Proofing &amp; Damp Proofing</t>
  </si>
  <si>
    <t>Window Installer</t>
  </si>
  <si>
    <t>Wire Shelving</t>
  </si>
  <si>
    <t>ITEM #</t>
  </si>
  <si>
    <t>REF. SHEET</t>
  </si>
  <si>
    <t>DETAIL</t>
  </si>
  <si>
    <t>CSI SECT</t>
  </si>
  <si>
    <t>DESCRIPTION</t>
  </si>
  <si>
    <t>QTY.</t>
  </si>
  <si>
    <t>WASTAGE</t>
  </si>
  <si>
    <t>QTY WITH
WASTAGE</t>
  </si>
  <si>
    <t>UNIT</t>
  </si>
  <si>
    <t>UNIT LABOR HOURS</t>
  </si>
  <si>
    <t>TOTAL LABOR HOURS</t>
  </si>
  <si>
    <t>PER HOUR LABOR RATE</t>
  </si>
  <si>
    <t>TOTAL LABOR COST</t>
  </si>
  <si>
    <t>UNIT MATERIAL COST</t>
  </si>
  <si>
    <t>TOTAL MATERIAL COST</t>
  </si>
  <si>
    <t>ITEM COST</t>
  </si>
  <si>
    <t>TRADE COST</t>
  </si>
  <si>
    <t>UNIT ITEM COST WITH MARKUPS</t>
  </si>
  <si>
    <t>TOTAL ITEM COST WITH MARKUPS</t>
  </si>
  <si>
    <t>Estimate of Materials Quantities and Cost of Construction</t>
  </si>
  <si>
    <t>CLICK HERE TO GO BACK TO COST SUMMARY</t>
  </si>
  <si>
    <t xml:space="preserve">Sub-Total    </t>
  </si>
  <si>
    <t>Material Sales Tax</t>
  </si>
  <si>
    <t>(Adjust the percentage for Material tax as required)</t>
  </si>
  <si>
    <r>
      <t xml:space="preserve">Overhead &amp; Profit / Inflation </t>
    </r>
    <r>
      <rPr>
        <b/>
        <sz val="13"/>
        <color rgb="FFFF0000"/>
        <rFont val="Calibri"/>
        <family val="2"/>
        <scheme val="minor"/>
      </rPr>
      <t>(Material)</t>
    </r>
  </si>
  <si>
    <t>(Adjust the percentage for Overhead &amp; Profit as required)</t>
  </si>
  <si>
    <r>
      <t xml:space="preserve">Overhead &amp; Profit </t>
    </r>
    <r>
      <rPr>
        <b/>
        <sz val="13"/>
        <color rgb="FFFF0000"/>
        <rFont val="Calibri"/>
        <family val="2"/>
        <scheme val="minor"/>
      </rPr>
      <t>(Labor)</t>
    </r>
  </si>
  <si>
    <t>Project and Wage Type:</t>
  </si>
  <si>
    <t>Private (Non-Prevailing wage)</t>
  </si>
  <si>
    <t>(Adjust the percentage for Bond Fee as required)</t>
  </si>
  <si>
    <t>Total Bid</t>
  </si>
  <si>
    <t>Gross Internal Area of Structure (SF)</t>
  </si>
  <si>
    <t>Covered Area of Structure (SF)</t>
  </si>
  <si>
    <t>Material Wastage 1</t>
  </si>
  <si>
    <t xml:space="preserve"> ( for Quantities in Each &amp; LS)</t>
  </si>
  <si>
    <t>No. of Units</t>
  </si>
  <si>
    <t>Material Wastage 2</t>
  </si>
  <si>
    <t xml:space="preserve"> ( for Quantities in LF, SF, SY, CY, LBS, TONS)</t>
  </si>
  <si>
    <t>No. of Floors and Overall Height</t>
  </si>
  <si>
    <t xml:space="preserve">                                  (Changing the wastage percentage here will update the wastage for whole tab)</t>
  </si>
  <si>
    <t>Hardscaping Area (SF)</t>
  </si>
  <si>
    <t>Soft scaping Area (SF)</t>
  </si>
  <si>
    <t>To change hourly rates for any trade please go to "Hourly Rates" Tab</t>
  </si>
  <si>
    <t>UNIT COST WITH MARKUPS</t>
  </si>
  <si>
    <t>TOTAL COST WITH MARKUPS</t>
  </si>
  <si>
    <t>General</t>
  </si>
  <si>
    <t>LS</t>
  </si>
  <si>
    <t>Surveying</t>
  </si>
  <si>
    <t>Concrete Testing</t>
  </si>
  <si>
    <t>Permit Fee</t>
  </si>
  <si>
    <t>Plan Coordination</t>
  </si>
  <si>
    <t>Roof Inspection</t>
  </si>
  <si>
    <t>Tool Rentals</t>
  </si>
  <si>
    <t>Tool Shed</t>
  </si>
  <si>
    <t>Dust Control</t>
  </si>
  <si>
    <t>Ice, Water, Beverages</t>
  </si>
  <si>
    <t>Garbage Dumpster / Trash Containers</t>
  </si>
  <si>
    <t>Mobilization/Demobilization (Temporary Control &amp; Facilities)</t>
  </si>
  <si>
    <t>Job Signs</t>
  </si>
  <si>
    <t>Job Photos</t>
  </si>
  <si>
    <t xml:space="preserve">Signage  </t>
  </si>
  <si>
    <t>Misc.</t>
  </si>
  <si>
    <t>Trash</t>
  </si>
  <si>
    <t>Final Cleaning</t>
  </si>
  <si>
    <t>Punch List Items</t>
  </si>
  <si>
    <t>Bonds, Insurance, Legal</t>
  </si>
  <si>
    <t>Casualty Insurance</t>
  </si>
  <si>
    <t>Medical Insurance</t>
  </si>
  <si>
    <t>General Liability Insurance</t>
  </si>
  <si>
    <t>Project Management &amp; Supervision</t>
  </si>
  <si>
    <t/>
  </si>
  <si>
    <t>SF</t>
  </si>
  <si>
    <t>LF</t>
  </si>
  <si>
    <t>EA</t>
  </si>
  <si>
    <t>CY</t>
  </si>
  <si>
    <t>LBS</t>
  </si>
  <si>
    <t>TONS</t>
  </si>
  <si>
    <t>Total Lab. Hours =</t>
  </si>
  <si>
    <t>Total Lab. Cost =</t>
  </si>
  <si>
    <t>Total Mat. Cost =</t>
  </si>
  <si>
    <r>
      <t>OVERHEAD &amp; PROF</t>
    </r>
    <r>
      <rPr>
        <b/>
        <sz val="12"/>
        <rFont val="Calibri"/>
        <family val="2"/>
        <scheme val="minor"/>
      </rPr>
      <t>IT / INFLATION</t>
    </r>
    <r>
      <rPr>
        <b/>
        <sz val="12"/>
        <color rgb="FFFF0000"/>
        <rFont val="Calibri"/>
        <family val="2"/>
        <scheme val="minor"/>
      </rPr>
      <t xml:space="preserve"> (Material)</t>
    </r>
  </si>
  <si>
    <r>
      <t>OVERHEAD &amp; PROFIT</t>
    </r>
    <r>
      <rPr>
        <b/>
        <sz val="12"/>
        <color rgb="FFFF0000"/>
        <rFont val="Calibri"/>
        <family val="2"/>
        <scheme val="minor"/>
      </rPr>
      <t xml:space="preserve"> (Labor)</t>
    </r>
  </si>
  <si>
    <t>BOND FEE</t>
  </si>
  <si>
    <r>
      <rPr>
        <b/>
        <sz val="12"/>
        <color rgb="FFFF0000"/>
        <rFont val="Calibri"/>
        <family val="2"/>
        <scheme val="minor"/>
      </rPr>
      <t>Note:</t>
    </r>
    <r>
      <rPr>
        <b/>
        <sz val="12"/>
        <color theme="0" tint="-0.499984740745262"/>
        <rFont val="Calibri"/>
        <family val="2"/>
        <scheme val="minor"/>
      </rPr>
      <t xml:space="preserve"> Adjusting the per hour labor rate in the table below will automatically update the labor pricing for whole project. To bypass the per hour labor rate for a single item, please put the per hour labor rate against that item in column M of relative tab.</t>
    </r>
  </si>
  <si>
    <t>Please don’t edit anything below, without the approval of the Manager (Estimating Department)</t>
  </si>
  <si>
    <t>CSI Div.</t>
  </si>
  <si>
    <t>Sub-Contractor/Trade List</t>
  </si>
  <si>
    <t>Hourly Rates</t>
  </si>
  <si>
    <t>DIV-1</t>
  </si>
  <si>
    <t>Div-28</t>
  </si>
  <si>
    <t>DIV-34</t>
  </si>
  <si>
    <t>DIV-00</t>
  </si>
  <si>
    <t>Z</t>
  </si>
  <si>
    <t>Unit</t>
  </si>
  <si>
    <t>Wastage</t>
  </si>
  <si>
    <t>SY</t>
  </si>
  <si>
    <t>Categories</t>
  </si>
  <si>
    <t>Commercial</t>
  </si>
  <si>
    <t>Residential</t>
  </si>
  <si>
    <t>Code</t>
  </si>
  <si>
    <t>Default1</t>
  </si>
  <si>
    <t>Default2</t>
  </si>
  <si>
    <t>Default3</t>
  </si>
  <si>
    <t>Default4</t>
  </si>
  <si>
    <t>Default5</t>
  </si>
  <si>
    <t>Default6</t>
  </si>
  <si>
    <t>Default7</t>
  </si>
  <si>
    <t>Default8</t>
  </si>
  <si>
    <t>Default9</t>
  </si>
  <si>
    <t>Default10</t>
  </si>
  <si>
    <t>Default11</t>
  </si>
  <si>
    <t>Default12</t>
  </si>
  <si>
    <t>Default13</t>
  </si>
  <si>
    <t>Default14</t>
  </si>
  <si>
    <t>Default15</t>
  </si>
  <si>
    <t>Default16</t>
  </si>
  <si>
    <t>Default17</t>
  </si>
  <si>
    <t>Default18</t>
  </si>
  <si>
    <t>Default19</t>
  </si>
  <si>
    <t>Default20</t>
  </si>
  <si>
    <t>Default21</t>
  </si>
  <si>
    <t>Default22</t>
  </si>
  <si>
    <t>Default23</t>
  </si>
  <si>
    <t>Default24</t>
  </si>
  <si>
    <t>Default25</t>
  </si>
  <si>
    <t>Default26</t>
  </si>
  <si>
    <t>Default27</t>
  </si>
  <si>
    <t>Default28</t>
  </si>
  <si>
    <t>Default29</t>
  </si>
  <si>
    <t>Default30</t>
  </si>
  <si>
    <t>Default31</t>
  </si>
  <si>
    <t>Default32</t>
  </si>
  <si>
    <t>Default33</t>
  </si>
  <si>
    <t>Default34</t>
  </si>
  <si>
    <t>Default35</t>
  </si>
  <si>
    <t>Default36</t>
  </si>
  <si>
    <t>Default37</t>
  </si>
  <si>
    <t>Default38</t>
  </si>
  <si>
    <t>Default39</t>
  </si>
  <si>
    <t>Default40</t>
  </si>
  <si>
    <t>Default41</t>
  </si>
  <si>
    <t>Default42</t>
  </si>
  <si>
    <t>Default43</t>
  </si>
  <si>
    <t>Default44</t>
  </si>
  <si>
    <t>Default45</t>
  </si>
  <si>
    <t>Default46</t>
  </si>
  <si>
    <t>Default47</t>
  </si>
  <si>
    <t>Default48</t>
  </si>
  <si>
    <t>Default49</t>
  </si>
  <si>
    <t>Default50</t>
  </si>
  <si>
    <t>Default51</t>
  </si>
  <si>
    <t>Default52</t>
  </si>
  <si>
    <t>Default53</t>
  </si>
  <si>
    <t>Default54</t>
  </si>
  <si>
    <t>Default55</t>
  </si>
  <si>
    <t>Default56</t>
  </si>
  <si>
    <t>Default57</t>
  </si>
  <si>
    <t>Default58</t>
  </si>
  <si>
    <t>Default59</t>
  </si>
  <si>
    <t>Default60</t>
  </si>
  <si>
    <t>Default61</t>
  </si>
  <si>
    <t>Default62</t>
  </si>
  <si>
    <t>Default63</t>
  </si>
  <si>
    <t>Default64</t>
  </si>
  <si>
    <t>Default65</t>
  </si>
  <si>
    <t>Default66</t>
  </si>
  <si>
    <t>Default67</t>
  </si>
  <si>
    <t>Default68</t>
  </si>
  <si>
    <t>Default69</t>
  </si>
  <si>
    <t>Default70</t>
  </si>
  <si>
    <t>Default71</t>
  </si>
  <si>
    <t>Default72</t>
  </si>
  <si>
    <t>Default73</t>
  </si>
  <si>
    <t>Default74</t>
  </si>
  <si>
    <t>Default75</t>
  </si>
  <si>
    <t>Default76</t>
  </si>
  <si>
    <t>Default77</t>
  </si>
  <si>
    <t>Default78</t>
  </si>
  <si>
    <t>Default79</t>
  </si>
  <si>
    <t>Default80</t>
  </si>
  <si>
    <t>Default81</t>
  </si>
  <si>
    <t>Default82</t>
  </si>
  <si>
    <t>Default83</t>
  </si>
  <si>
    <t>Default84</t>
  </si>
  <si>
    <t>Default85</t>
  </si>
  <si>
    <t>Default86</t>
  </si>
  <si>
    <t>Default87</t>
  </si>
  <si>
    <t>Default88</t>
  </si>
  <si>
    <t>Default89</t>
  </si>
  <si>
    <t>Default90</t>
  </si>
  <si>
    <t>Default91</t>
  </si>
  <si>
    <t>Default92</t>
  </si>
  <si>
    <t>Default93</t>
  </si>
  <si>
    <t>Default94</t>
  </si>
  <si>
    <t>Default95</t>
  </si>
  <si>
    <t>Default96</t>
  </si>
  <si>
    <t>Default97</t>
  </si>
  <si>
    <t>Default98</t>
  </si>
  <si>
    <t>Default99</t>
  </si>
  <si>
    <t>Default100</t>
  </si>
  <si>
    <t>Default101</t>
  </si>
  <si>
    <t>Economy1</t>
  </si>
  <si>
    <t>Economy2</t>
  </si>
  <si>
    <t>Economy3</t>
  </si>
  <si>
    <t>Economy4</t>
  </si>
  <si>
    <t>Economy5</t>
  </si>
  <si>
    <t>Economy6</t>
  </si>
  <si>
    <t>Economy7</t>
  </si>
  <si>
    <t>Economy8</t>
  </si>
  <si>
    <t>Average1</t>
  </si>
  <si>
    <t>Average2</t>
  </si>
  <si>
    <t>Average3</t>
  </si>
  <si>
    <t>Average4</t>
  </si>
  <si>
    <t>Average5</t>
  </si>
  <si>
    <t>Average6</t>
  </si>
  <si>
    <t>Average7</t>
  </si>
  <si>
    <t>Average8</t>
  </si>
  <si>
    <t>Average9</t>
  </si>
  <si>
    <t>Average10</t>
  </si>
  <si>
    <t>Average11</t>
  </si>
  <si>
    <t>Average12</t>
  </si>
  <si>
    <t>Custom1</t>
  </si>
  <si>
    <t>Custom2</t>
  </si>
  <si>
    <t>Custom3</t>
  </si>
  <si>
    <t>Custom4</t>
  </si>
  <si>
    <t>Custom5</t>
  </si>
  <si>
    <t>Custom6</t>
  </si>
  <si>
    <t>Custom7</t>
  </si>
  <si>
    <t>Custom8</t>
  </si>
  <si>
    <t>Custom9</t>
  </si>
  <si>
    <t>Custom10</t>
  </si>
  <si>
    <t>Luxury1</t>
  </si>
  <si>
    <t>Luxury2</t>
  </si>
  <si>
    <t>Luxury3</t>
  </si>
  <si>
    <t>Luxury4</t>
  </si>
  <si>
    <t>Luxury5</t>
  </si>
  <si>
    <t>Luxury6</t>
  </si>
  <si>
    <t>Luxury7</t>
  </si>
  <si>
    <t>Luxury8</t>
  </si>
  <si>
    <t>Luxury9</t>
  </si>
  <si>
    <t>Luxury10</t>
  </si>
  <si>
    <t>Default</t>
  </si>
  <si>
    <t>Economy</t>
  </si>
  <si>
    <t>Apartment 1-3 Story</t>
  </si>
  <si>
    <t>Brick Veneer/Reinforced Concrete</t>
  </si>
  <si>
    <t xml:space="preserve">Brick Veneer &amp; Concrete Block / Bearing Walls </t>
  </si>
  <si>
    <t>Concrete Block/Bearing Walls</t>
  </si>
  <si>
    <t>Face Brick &amp; Concrete Block/Reinforced Concrete</t>
  </si>
  <si>
    <t xml:space="preserve">Concrete Block/Steel Roof Deck </t>
  </si>
  <si>
    <t>Decorative Concrete Block/Bearing walls</t>
  </si>
  <si>
    <t>Decorative Concrete Block/Steel Truss</t>
  </si>
  <si>
    <t>Brick Veneer/Wood Frame</t>
  </si>
  <si>
    <t>Decorative Concrete Block/Steel Joist</t>
  </si>
  <si>
    <t>Decorative Concrete Block/Reinforced Concrete</t>
  </si>
  <si>
    <t>Brick Veneer/ Rigid Steel</t>
  </si>
  <si>
    <t>Brick Veneer/ Reinforeced Concrete</t>
  </si>
  <si>
    <t>Brick Veneer/wood Frame</t>
  </si>
  <si>
    <t>Concrete Block/Bearing Wall</t>
  </si>
  <si>
    <t>Face Brick &amp; Common Brick/Reinforced Concrete</t>
  </si>
  <si>
    <t>Decorative Concrete Block/Precast Concrete</t>
  </si>
  <si>
    <t>Aluminum Clapboard/Wood Frame</t>
  </si>
  <si>
    <t>E.I.F.S. &amp; Concrete Block/Rigid Steel</t>
  </si>
  <si>
    <t>Cast in Place Concrete/Reinforced Concrete</t>
  </si>
  <si>
    <t>Cast in Place Concrete/Steel Joists</t>
  </si>
  <si>
    <t>Cast in Place Concrete/Rigid Steel</t>
  </si>
  <si>
    <t>Brick Veneer/Wood Truss</t>
  </si>
  <si>
    <t>Conrete Block/Steel Joists</t>
  </si>
  <si>
    <t>Face Brick &amp; Concrete Block/Bearing walls</t>
  </si>
  <si>
    <t>Curtain Wall/Reinforced Conrete</t>
  </si>
  <si>
    <t>Brick Veneer/Rigid Steel</t>
  </si>
  <si>
    <t>Aluminum Clapboard/Wood Truss</t>
  </si>
  <si>
    <t>Face Brick &amp; Concrete Block/Steel Joists</t>
  </si>
  <si>
    <t>E.I.F.S./Reinforced Concrete</t>
  </si>
  <si>
    <t>Fiber Cement/Rigid Steel</t>
  </si>
  <si>
    <t>Face Brick/Wood Frame</t>
  </si>
  <si>
    <t xml:space="preserve">Face Brick &amp; Concrete Block/Bearing Walls </t>
  </si>
  <si>
    <t>Concrete Block/Precast Concrete</t>
  </si>
  <si>
    <t>Concrete Block/Reinforced Concrete</t>
  </si>
  <si>
    <t>Brick Veneer - Wood Frame</t>
  </si>
  <si>
    <t>6" Log - Solid Wall</t>
  </si>
  <si>
    <t>Average</t>
  </si>
  <si>
    <t>Apartment 4-7 Story</t>
  </si>
  <si>
    <t>Brick Veneer &amp; Concrete Block / Wood Truss</t>
  </si>
  <si>
    <t>Concrete Block/Rigid Steel</t>
  </si>
  <si>
    <t>Face Brick &amp; Concrete Block/Rigid Steel</t>
  </si>
  <si>
    <t xml:space="preserve">Decorative Concrete Block/Steel Roof Deck </t>
  </si>
  <si>
    <t>Decorative Concrete Block/Rigid Steel</t>
  </si>
  <si>
    <t>Decorative Concrete Block/Wood Arch</t>
  </si>
  <si>
    <t>Stone Ashlar &amp; Cocnrete block/Steel Joist</t>
  </si>
  <si>
    <t>Decorative Concrete Block/Wood Joist</t>
  </si>
  <si>
    <t xml:space="preserve">Brick Veneer/Rigid Steel </t>
  </si>
  <si>
    <t>Brick Veneer/ Reinforced Concrete</t>
  </si>
  <si>
    <t>Curtain Wall/Rigid steel</t>
  </si>
  <si>
    <t>Face Brick &amp; Common Brick/Rigid Steel</t>
  </si>
  <si>
    <t>Decorative Concrete Block/Steel Joists</t>
  </si>
  <si>
    <t>Decorative Concrete Block/Wood Joists</t>
  </si>
  <si>
    <t>Cast in Place Concrete/Wood Joists</t>
  </si>
  <si>
    <t xml:space="preserve">Decorative Concrete Block/Rigid Steel </t>
  </si>
  <si>
    <t>E.I.F.S./Rigid Steel</t>
  </si>
  <si>
    <t>E.I.F.S. &amp; Metal Studs/Steel Roof Deck</t>
  </si>
  <si>
    <t>Curtain Wall/Rigid Steel</t>
  </si>
  <si>
    <t>Metal Panel &amp; Wood Studs/Wood Truss</t>
  </si>
  <si>
    <t>Face Brick &amp; Concrete Block/Wood Joists</t>
  </si>
  <si>
    <t>Stone Veneer/Rigid Steel</t>
  </si>
  <si>
    <t xml:space="preserve">E.I.F.S./Rigid Steel </t>
  </si>
  <si>
    <t>Metal Sandwich Panel/Rigid Steel</t>
  </si>
  <si>
    <t>E.I.F.S. &amp; Metal Studs/Steel Joists</t>
  </si>
  <si>
    <t>Concrete Block/Wood Frame</t>
  </si>
  <si>
    <t>E.I.F.S./Wood Frame</t>
  </si>
  <si>
    <t>E.I.F.S./Steel Joists</t>
  </si>
  <si>
    <t>Painted Concrete Block</t>
  </si>
  <si>
    <t>Solid Masonry</t>
  </si>
  <si>
    <t>8" Log - Solid Wall</t>
  </si>
  <si>
    <t>Solid Brick</t>
  </si>
  <si>
    <t xml:space="preserve">Solid Brick </t>
  </si>
  <si>
    <t>Custom</t>
  </si>
  <si>
    <t>Apartment 8-24 Story</t>
  </si>
  <si>
    <t>E.I.F.S. &amp; Metal studs/Rigid Steel</t>
  </si>
  <si>
    <t xml:space="preserve">Cuttain Wall/Rigid Steel </t>
  </si>
  <si>
    <t>Brick Veneer / Rigid Steel</t>
  </si>
  <si>
    <t>Decorative Concrete Block/Bearing Walls</t>
  </si>
  <si>
    <t>Limestone &amp; Concrete Block/Reinforced Concrete</t>
  </si>
  <si>
    <t xml:space="preserve">Face Brick &amp; Concrete Block/Steel Roof Deck </t>
  </si>
  <si>
    <t>Face Brick &amp; Concrete Block/Steel Truss</t>
  </si>
  <si>
    <t>Stone Ashlar &amp; Cocnrete block/Wood Truss</t>
  </si>
  <si>
    <t>Face Brick &amp; Concrete Block/Steel Joist</t>
  </si>
  <si>
    <t>Cutain Wall/Rigid Steel</t>
  </si>
  <si>
    <t>Curtain wall/ Rigid Steel</t>
  </si>
  <si>
    <t>Face Brick &amp; Concrete Block/Precast Concrete</t>
  </si>
  <si>
    <t>Face Brick &amp; Concrete Block/Wood Truss</t>
  </si>
  <si>
    <t>Concrete Block/Steel Joists</t>
  </si>
  <si>
    <t>Concrete Block/Wood Arch</t>
  </si>
  <si>
    <t>Metal Panel/Rigid Steel</t>
  </si>
  <si>
    <t>Conrete Block/Wood Truss</t>
  </si>
  <si>
    <t>Precast Concrete/Bearing walls</t>
  </si>
  <si>
    <t>Face Brick &amp; Concrete Block/Steel Roof Deck</t>
  </si>
  <si>
    <t>Plywood Siding/Wood Truss</t>
  </si>
  <si>
    <t>Limestone &amp; Concrete Block/Steel Joists</t>
  </si>
  <si>
    <t>Stucco/Reinforced Concrete</t>
  </si>
  <si>
    <t>Precast Concrete/Rigid Steel</t>
  </si>
  <si>
    <t>Face Brick &amp; Metal Studs/Reinforced Concrete</t>
  </si>
  <si>
    <t>Fiber Cement/Wood Frame</t>
  </si>
  <si>
    <t>E.I.F.S./Wood Truss</t>
  </si>
  <si>
    <t>Stucco on Wood Frame</t>
  </si>
  <si>
    <t>Stone Veneer - Wood Frame</t>
  </si>
  <si>
    <t>Solid Stone</t>
  </si>
  <si>
    <t xml:space="preserve">Solid Stone </t>
  </si>
  <si>
    <t>Luxury</t>
  </si>
  <si>
    <t xml:space="preserve">Assisted - Senior Living </t>
  </si>
  <si>
    <t>Brick Veneer / Wood Frame</t>
  </si>
  <si>
    <t>Face Brick &amp; Concrete Block/Bearing Walls</t>
  </si>
  <si>
    <t>Limestone &amp; Concrete Block/Rigid Steel</t>
  </si>
  <si>
    <t xml:space="preserve">Jumbo Brick &amp; Concrete Block/Steel Roof Deck </t>
  </si>
  <si>
    <t>Face Brick &amp; Concrete Block/Rigid Wood Arch</t>
  </si>
  <si>
    <t>Stucco &amp; Cocnrete Block/Steel Joist</t>
  </si>
  <si>
    <t>Face Brick &amp; Concrete Block/Wood Joist</t>
  </si>
  <si>
    <t xml:space="preserve">Fiber Cement/ Rigid Steel </t>
  </si>
  <si>
    <t>Stucco &amp; Concrete Block/Wood Truss</t>
  </si>
  <si>
    <t xml:space="preserve">Metal Panel/Rigid Steel </t>
  </si>
  <si>
    <t>Stucco &amp; Concrete Block/Bearing walls</t>
  </si>
  <si>
    <t>Limestone &amp; Concrete Block/Wood Truss</t>
  </si>
  <si>
    <t>Concrete Block/Wood Joists</t>
  </si>
  <si>
    <t>Face Brick &amp; Glazed Block/Steel Joists</t>
  </si>
  <si>
    <t>Reinforced Concrete/Reinforced Concrete</t>
  </si>
  <si>
    <t>Precast Concrete/Reinforced Concrete</t>
  </si>
  <si>
    <t>Stucco &amp; Concrete Block/Steel Joists</t>
  </si>
  <si>
    <t>Precast Concrete/Wood Truss</t>
  </si>
  <si>
    <t>Stucco &amp; Concrete Block/Precast Concrete</t>
  </si>
  <si>
    <t>Metal Sandwich Panel/Steel Joists</t>
  </si>
  <si>
    <t xml:space="preserve">Precast Concrete/Rigid Steel </t>
  </si>
  <si>
    <t>Wood Clapboard/Wood Truss</t>
  </si>
  <si>
    <t>Limestone &amp; Concrete Block/Wood Joists</t>
  </si>
  <si>
    <t>Wood Clapboard/Wood Frame</t>
  </si>
  <si>
    <t xml:space="preserve">Stucco &amp; Concrete Block/Bearing Walls </t>
  </si>
  <si>
    <t>Face Brick &amp; Metal Studs/Rigid Steel</t>
  </si>
  <si>
    <t xml:space="preserve">Pre-Engineered Metal Building/Rigid Steel </t>
  </si>
  <si>
    <t>Wood Siding - Wood Frame</t>
  </si>
  <si>
    <t>Auditurium</t>
  </si>
  <si>
    <t>Stone Veneer / Wood Frame</t>
  </si>
  <si>
    <t>Vinyl Clapboard / Wood Frame</t>
  </si>
  <si>
    <t>Precast Concrete / Reinforced Concrete</t>
  </si>
  <si>
    <t xml:space="preserve">Precast Concrete/Steel Roof Deck </t>
  </si>
  <si>
    <t>Stone &amp; Concrete Block/Steel Truss</t>
  </si>
  <si>
    <t>Stucco &amp; Cocnrete Block/Wood Truss</t>
  </si>
  <si>
    <t>Stone Veneer/Reinforced Concrete</t>
  </si>
  <si>
    <t>Precast Concrete/Precast Concrete</t>
  </si>
  <si>
    <t>Tilt-up Concrete Panels/Bearing walls</t>
  </si>
  <si>
    <t>Metal Panel / Reinforced Concrete</t>
  </si>
  <si>
    <t>Stone &amp; Concrete Block/ Reinforced Concrete</t>
  </si>
  <si>
    <t>Tilt-up Concrete Panels/Steel Joists</t>
  </si>
  <si>
    <t>Stucco &amp; Concrete Block/Reinforced Concrete</t>
  </si>
  <si>
    <t>Limestone &amp; Concrete Block/Bearing walls</t>
  </si>
  <si>
    <t>Limestone &amp; Concrete Block/Precast Concrete</t>
  </si>
  <si>
    <t>Wood Board and Batten/Wood Frame</t>
  </si>
  <si>
    <t>Stucco &amp; Concrete Block/Rigid Steel</t>
  </si>
  <si>
    <t>Precast Concrete / Precast Concrete</t>
  </si>
  <si>
    <t>Face Brick &amp; Concrete Block/Wood Arch</t>
  </si>
  <si>
    <t>Precast Concrete/Bearing Walls</t>
  </si>
  <si>
    <t>Metal Panel/Reinforced Concrete</t>
  </si>
  <si>
    <t>Stone Veneer/Wood Frame</t>
  </si>
  <si>
    <t>Stucco &amp; Concrete Block/Wood Joists</t>
  </si>
  <si>
    <t>Precast Concrete/Steel Joists</t>
  </si>
  <si>
    <t>Tilt-up  Concrete Panels/Steel Roof Deck</t>
  </si>
  <si>
    <t>Limestone &amp; Concrete Block/Bearing Walls</t>
  </si>
  <si>
    <t>Metal Panel &amp; Metal Studs/Rigid Steel</t>
  </si>
  <si>
    <t>Metal Sandwich Panel/Wood Truss</t>
  </si>
  <si>
    <t>Stone &amp; Concrete Block/Steel Joists</t>
  </si>
  <si>
    <t>Stone &amp; Concrete Block/Reinforced Concrete</t>
  </si>
  <si>
    <t>Bank</t>
  </si>
  <si>
    <t>Stucco &amp; Concrete Block/Reinforced concrete</t>
  </si>
  <si>
    <t>Stucco/Reinforced concrete</t>
  </si>
  <si>
    <t>Wood ClapBoard / Wood Frame</t>
  </si>
  <si>
    <t xml:space="preserve">Precast Concrete / Rigid steel </t>
  </si>
  <si>
    <t xml:space="preserve">Stucco &amp; Concrete Block/Steel Roof Deck </t>
  </si>
  <si>
    <t>Stone &amp; Concrete Block/Rigid Wood Arch</t>
  </si>
  <si>
    <t>Wood Shingles/wood Frame</t>
  </si>
  <si>
    <t>Tilt-up Concrete Panels/Rigid Steel</t>
  </si>
  <si>
    <t>Stone Veneer/ Wood Frame</t>
  </si>
  <si>
    <t xml:space="preserve">Stone &amp; Concrete Block/ Rigid steel </t>
  </si>
  <si>
    <t>Wood Clapboard/Wood Frame.</t>
  </si>
  <si>
    <t xml:space="preserve">Tilt-up Concrete Panels/Rigid Steel </t>
  </si>
  <si>
    <t>Stucco/Wood Frame</t>
  </si>
  <si>
    <t>Vinyl Clapboard/Wood Frame</t>
  </si>
  <si>
    <t>Wood Shingles/Wood Frame</t>
  </si>
  <si>
    <t>Tilt-up  Concrete Panels/Rigid Steel</t>
  </si>
  <si>
    <t>Tilt-up Concrete Panels/Reinforced Concrete</t>
  </si>
  <si>
    <t>Stone &amp; Concrete Block/Wood Joists</t>
  </si>
  <si>
    <t>Stone &amp; Concrete Block/Rigid Steel</t>
  </si>
  <si>
    <t>Bank (Green)</t>
  </si>
  <si>
    <t>Bowling Alley</t>
  </si>
  <si>
    <t xml:space="preserve">Bus Terminal </t>
  </si>
  <si>
    <t xml:space="preserve">Car Wash </t>
  </si>
  <si>
    <t>Church</t>
  </si>
  <si>
    <t>Club, Country</t>
  </si>
  <si>
    <t>Cub, Social</t>
  </si>
  <si>
    <t>College, Classroom, 2-3 Story</t>
  </si>
  <si>
    <t>College, Dormitory, 2-3Story</t>
  </si>
  <si>
    <t>College, Classroom, 2-3 Story (Green)</t>
  </si>
  <si>
    <t>College, Dormitory, 2-3Story (Green)</t>
  </si>
  <si>
    <t>College, Dormitory, 4-8Story (Green)</t>
  </si>
  <si>
    <t>College, Dormitory, 4-8Story</t>
  </si>
  <si>
    <t>College, Laboratory</t>
  </si>
  <si>
    <t>College, Laboratory (Green)</t>
  </si>
  <si>
    <t>College, Student Union</t>
  </si>
  <si>
    <t>Community Center</t>
  </si>
  <si>
    <t>Computer Data Center</t>
  </si>
  <si>
    <t>Courthouse, 1 story</t>
  </si>
  <si>
    <t>Courthouse, 2-3story</t>
  </si>
  <si>
    <t>Day care center</t>
  </si>
  <si>
    <t>Factory, 1 Story</t>
  </si>
  <si>
    <t>Factory, 3 Story</t>
  </si>
  <si>
    <t>Fire Station Story 1</t>
  </si>
  <si>
    <t>Fire Station Story 1 (Green)</t>
  </si>
  <si>
    <t>Fire Station Story 2</t>
  </si>
  <si>
    <t>Fire Station Story 2 (Green)</t>
  </si>
  <si>
    <t>Fraternity/Sorority House</t>
  </si>
  <si>
    <t>Funeral Home</t>
  </si>
  <si>
    <t>Funeral Home (Green)</t>
  </si>
  <si>
    <t>Garage, Auto Sales</t>
  </si>
  <si>
    <t>Garage, Parking</t>
  </si>
  <si>
    <t>Garage, Repair</t>
  </si>
  <si>
    <t>Garage,Service Station</t>
  </si>
  <si>
    <t>Garage, Underground Parking</t>
  </si>
  <si>
    <t>Gymnasium</t>
  </si>
  <si>
    <t>Hangar, Aircraft</t>
  </si>
  <si>
    <t>Hospital 2-3 Story</t>
  </si>
  <si>
    <t>Hospital 4-8 Story</t>
  </si>
  <si>
    <t>Hotel, 4-7 Story</t>
  </si>
  <si>
    <t>Hotel, 8-24 Story</t>
  </si>
  <si>
    <t>Jail</t>
  </si>
  <si>
    <t>Laundromant</t>
  </si>
  <si>
    <t>Library</t>
  </si>
  <si>
    <t>Library (Green)</t>
  </si>
  <si>
    <t>Medical Office, 1 Story</t>
  </si>
  <si>
    <t>Medical Office, 1 Story (Green)</t>
  </si>
  <si>
    <t>Medical Office, 2 Story</t>
  </si>
  <si>
    <t>Medical Office, 2 Story (Green)</t>
  </si>
  <si>
    <t>Motel, 1 Story</t>
  </si>
  <si>
    <t>Motel, 1 Story (Green)</t>
  </si>
  <si>
    <t>Motel, 2-3 Story</t>
  </si>
  <si>
    <t>Motel, 2-3 Story (Green)</t>
  </si>
  <si>
    <t>Movie Theater</t>
  </si>
  <si>
    <t>Nursing Home</t>
  </si>
  <si>
    <t>Office, 1 Story</t>
  </si>
  <si>
    <t>Office, 1 Story (Green)</t>
  </si>
  <si>
    <t>Office, 11-20 Story</t>
  </si>
  <si>
    <t>Office, 11-20 Story (Green)</t>
  </si>
  <si>
    <t>Office, 2-4 Story</t>
  </si>
  <si>
    <t>Office, 2-4 Story (Green)</t>
  </si>
  <si>
    <t>Office, 5-10 Story</t>
  </si>
  <si>
    <t>Office, 5-10 Story (Green)</t>
  </si>
  <si>
    <t>Outpatient Surgery Center</t>
  </si>
  <si>
    <t>Police Station</t>
  </si>
  <si>
    <t>Police Station (Green)</t>
  </si>
  <si>
    <t xml:space="preserve">Post Frame Barn </t>
  </si>
  <si>
    <t>Post Office</t>
  </si>
  <si>
    <t>Racquetball court</t>
  </si>
  <si>
    <t>Religious Education</t>
  </si>
  <si>
    <t>Resturant</t>
  </si>
  <si>
    <t>Resturant (Green)</t>
  </si>
  <si>
    <t xml:space="preserve">Resturant, Fast Food </t>
  </si>
  <si>
    <t>School, Elementary</t>
  </si>
  <si>
    <t>School, Elementary (Green)</t>
  </si>
  <si>
    <t>School, High 2-3 Story</t>
  </si>
  <si>
    <t>School, High 2-3 Story (Green)</t>
  </si>
  <si>
    <t>School, Jr High, 2-3 Story</t>
  </si>
  <si>
    <t>School, Jr High, 2-3 Story (Green)</t>
  </si>
  <si>
    <t>School, Vocational</t>
  </si>
  <si>
    <t>School, Vocational (Green)</t>
  </si>
  <si>
    <t>Store, Convenience</t>
  </si>
  <si>
    <t>Store Department, 1 Story</t>
  </si>
  <si>
    <t>Store Department, 3 Story</t>
  </si>
  <si>
    <t>Store, Retail</t>
  </si>
  <si>
    <t>Supermarket</t>
  </si>
  <si>
    <t>Supermarket (Green)</t>
  </si>
  <si>
    <t>Swimming Pool, Enclosed</t>
  </si>
  <si>
    <t>Telephone Exchange</t>
  </si>
  <si>
    <t>Town Hall, 1 Story</t>
  </si>
  <si>
    <t>Town Hall, 2-3 Story</t>
  </si>
  <si>
    <t>Veterinary Hospital</t>
  </si>
  <si>
    <t>Warehouse</t>
  </si>
  <si>
    <t>Warehouse (Green)</t>
  </si>
  <si>
    <t>Warehouse Self Storage</t>
  </si>
  <si>
    <t>Economy 1 Story</t>
  </si>
  <si>
    <t>Economy 1 Story wings &amp; ells</t>
  </si>
  <si>
    <t>Economy 1 - 1/2 Story</t>
  </si>
  <si>
    <t>Economy 1 - 1/2 Story wings &amp; ells</t>
  </si>
  <si>
    <t>Economy 2 Story</t>
  </si>
  <si>
    <t>Economy 2 Story wings &amp; ells</t>
  </si>
  <si>
    <t>Economy Bi level</t>
  </si>
  <si>
    <t>Economy Tri level</t>
  </si>
  <si>
    <t>Average Story 1</t>
  </si>
  <si>
    <t>Average 1 Story wings &amp; ells</t>
  </si>
  <si>
    <t>Average 1 - 1/2 Story</t>
  </si>
  <si>
    <t>Average 1 - 1/2 Story wings &amp; ells</t>
  </si>
  <si>
    <t>Average 2 Story</t>
  </si>
  <si>
    <t>Average 2 Story wings &amp; ells</t>
  </si>
  <si>
    <t>Average 2 - 1/2 Story</t>
  </si>
  <si>
    <t>Average 3 Story</t>
  </si>
  <si>
    <t>Average Bi level</t>
  </si>
  <si>
    <t>Average Tri level</t>
  </si>
  <si>
    <t>Solid Wall 1 Story</t>
  </si>
  <si>
    <t>Solid Wall 2 Story</t>
  </si>
  <si>
    <t>Custom Story 1</t>
  </si>
  <si>
    <t>Custom 1 Story wings &amp; ells</t>
  </si>
  <si>
    <t>Custom 1 - 1/2 Story</t>
  </si>
  <si>
    <t>Custom 1 - 1/2 Story wings &amp; ells</t>
  </si>
  <si>
    <t>Custom 2 Story</t>
  </si>
  <si>
    <t>Custom 2 Story wings &amp; ells</t>
  </si>
  <si>
    <t>Custom 2 - 1/2 Story</t>
  </si>
  <si>
    <t>Custom 3 Story</t>
  </si>
  <si>
    <t>Custom Bi level</t>
  </si>
  <si>
    <t>Custom Tri level</t>
  </si>
  <si>
    <t>Luxury Story 1</t>
  </si>
  <si>
    <t>Luxury 1 Story wings &amp; ells</t>
  </si>
  <si>
    <t>Luxury 1 - 1/2 Story</t>
  </si>
  <si>
    <t>Luxury 1 - 1/2 Story wings &amp; ells</t>
  </si>
  <si>
    <t>Luxury 2 Story</t>
  </si>
  <si>
    <t>Luxury 2 Story wings &amp; ells</t>
  </si>
  <si>
    <t>Luxury 2 - 1/2 Story</t>
  </si>
  <si>
    <t>Luxury 3 Story</t>
  </si>
  <si>
    <t>Luxury Bi level</t>
  </si>
  <si>
    <t>Luxury Tri level</t>
  </si>
  <si>
    <t>-</t>
  </si>
  <si>
    <t>Misc. Items</t>
  </si>
  <si>
    <t>Lighting Fixture</t>
  </si>
  <si>
    <t>Receptacle</t>
  </si>
  <si>
    <t>Power</t>
  </si>
  <si>
    <t>Panels</t>
  </si>
  <si>
    <t>Circuit Breakers</t>
  </si>
  <si>
    <t>20A/1P Circuit Breaker</t>
  </si>
  <si>
    <t>Feeder Items</t>
  </si>
  <si>
    <t>Feeder Cable</t>
  </si>
  <si>
    <t>Wiring &amp; Conduits</t>
  </si>
  <si>
    <t xml:space="preserve">Lighting Wiring </t>
  </si>
  <si>
    <t>3/4" Emt Conduit For Lighting</t>
  </si>
  <si>
    <t>3/4" Coupling Ss Stl - Emt</t>
  </si>
  <si>
    <t>3/4" 1-H Strap - Emt - Steel</t>
  </si>
  <si>
    <t>#8 To #10 X 7/8 Plas Anchor (3/16)</t>
  </si>
  <si>
    <t>#10 X 1 P/H Self-Tap Screw</t>
  </si>
  <si>
    <t xml:space="preserve">Power Wiring </t>
  </si>
  <si>
    <t>3/4" Emt Conduit For Power</t>
  </si>
  <si>
    <t>Lighting Control</t>
  </si>
  <si>
    <t>20A/2P Circuit Breaker</t>
  </si>
  <si>
    <t>Cat6 Cable</t>
  </si>
  <si>
    <t>DIV-28</t>
  </si>
  <si>
    <t>Electronic Safety &amp; Security</t>
  </si>
  <si>
    <t>Fire Alarm System</t>
  </si>
  <si>
    <t xml:space="preserve">Communication Wiring </t>
  </si>
  <si>
    <t xml:space="preserve">Fire Alarm Wiring </t>
  </si>
  <si>
    <t>Plan Design And Permitting</t>
  </si>
  <si>
    <t>Architecture (Assumed By Owner)</t>
  </si>
  <si>
    <t>Engineering  (Assumed By Owner)</t>
  </si>
  <si>
    <t>Soils Report  (Assumed By Owner)</t>
  </si>
  <si>
    <t>Geological Report  (Assumed By Owner)</t>
  </si>
  <si>
    <t>Permits (Based On Interior Finish Area)</t>
  </si>
  <si>
    <t xml:space="preserve">Blueprints (?? Pages) </t>
  </si>
  <si>
    <t>Utilities During Construction (Based On Interior Finish Area)</t>
  </si>
  <si>
    <t>Port-O-Potty (Based On Interior Finish Area)</t>
  </si>
  <si>
    <t>Temporary Power (Based On Interior Finish Area)</t>
  </si>
  <si>
    <t>Equipment And Tools</t>
  </si>
  <si>
    <t>Signage And Promotion</t>
  </si>
  <si>
    <t>Promotion/Entertainment</t>
  </si>
  <si>
    <t>Cleaning And Final</t>
  </si>
  <si>
    <t>Window Washing (Rough # Of Windows )</t>
  </si>
  <si>
    <t>GC</t>
  </si>
  <si>
    <t>Back Box</t>
  </si>
  <si>
    <t>Hanger Wire</t>
  </si>
  <si>
    <t>1" Coupling Ss Stl - Emt</t>
  </si>
  <si>
    <t>1" 1-H Strap - Emt - Steel</t>
  </si>
  <si>
    <t>Communication Devices</t>
  </si>
  <si>
    <t>3/4" Emt Conduit</t>
  </si>
  <si>
    <t>Special Outlet</t>
  </si>
  <si>
    <t>40A/3P Circuit Breaker</t>
  </si>
  <si>
    <t>Floor Box</t>
  </si>
  <si>
    <t>2" Coupling Ss Stl - Emt</t>
  </si>
  <si>
    <t>2" 1-H Strap - Emt - Steel</t>
  </si>
  <si>
    <t>Security System</t>
  </si>
  <si>
    <t>Sensor</t>
  </si>
  <si>
    <t>100A/3P Circuit Breaker</t>
  </si>
  <si>
    <t>30A/1P Circuit Breaker</t>
  </si>
  <si>
    <t>35A/3P Circuit Breaker</t>
  </si>
  <si>
    <t>25A/3P Circuit Breaker</t>
  </si>
  <si>
    <t>70A/2P Circuit Breaker</t>
  </si>
  <si>
    <t>60A/3P Circuit Breaker</t>
  </si>
  <si>
    <t>15A/2P Circuit Breaker</t>
  </si>
  <si>
    <t>Junction Box-2 Gang</t>
  </si>
  <si>
    <t>Handicap Door Push Button</t>
  </si>
  <si>
    <t>Meter Per Evergy</t>
  </si>
  <si>
    <t>Neutral Bus</t>
  </si>
  <si>
    <t>Ground Bus</t>
  </si>
  <si>
    <t>Supply Side Equipment Bonding Jumper</t>
  </si>
  <si>
    <t>Grounding Bushing</t>
  </si>
  <si>
    <t>Utility Meter</t>
  </si>
  <si>
    <t>Utility Transformer</t>
  </si>
  <si>
    <t>1/2" Emt Conduit For Power</t>
  </si>
  <si>
    <t>1/2" Coupling Ss Stl - Emt</t>
  </si>
  <si>
    <t>1/2" 1-H Strap - Emt - Steel</t>
  </si>
  <si>
    <t>1" Emt Conduit For Power</t>
  </si>
  <si>
    <t xml:space="preserve">Telecommunication Outlet &amp; Jacks </t>
  </si>
  <si>
    <t>Conduit Sleeve</t>
  </si>
  <si>
    <t>Push Button</t>
  </si>
  <si>
    <t>Wireless Access Point</t>
  </si>
  <si>
    <t>Photoelectric Area Smoke Detector</t>
  </si>
  <si>
    <t>Fire Alarm Control Panel W/ Backbox</t>
  </si>
  <si>
    <t>Fire Alarm Visual Signal</t>
  </si>
  <si>
    <t>Security Alarm Control Panel</t>
  </si>
  <si>
    <t>Glass Break Sensor</t>
  </si>
  <si>
    <t>Cash Room Key Cabinet</t>
  </si>
  <si>
    <t>Water Sensor</t>
  </si>
  <si>
    <t>Wireless Hold-Up/Duress Single Button Switch</t>
  </si>
  <si>
    <t>360 Degree Infrared Motion Detector</t>
  </si>
  <si>
    <t>Coin Locker Door Contact W/ Junction Box</t>
  </si>
  <si>
    <t>Bill Trap (Money Clip)</t>
  </si>
  <si>
    <t xml:space="preserve">Wireless Receiver Hub </t>
  </si>
  <si>
    <t>1" Emt Conduit</t>
  </si>
  <si>
    <t>1-1/2" Emt Conduit</t>
  </si>
  <si>
    <t>1-1/2" Coupling Ss Stl - Emt</t>
  </si>
  <si>
    <t>1-1/2" 1-H Strap - Emt - Steel</t>
  </si>
  <si>
    <t>(3) Cat5 &amp; 1 Yellow Composite Cable</t>
  </si>
  <si>
    <t>(3) 2" Non Metallic Conduit W/  Bushings</t>
  </si>
  <si>
    <t xml:space="preserve">Security Wiring </t>
  </si>
  <si>
    <t>22/4 And 18/2 Shielded/Stranded Cable</t>
  </si>
  <si>
    <t>F4 – 4' Strip
Manufacturer: Williams
Model: 75S</t>
  </si>
  <si>
    <t>E101 to E-611</t>
  </si>
  <si>
    <t>Intrust Bank-Topeka Branch</t>
  </si>
  <si>
    <t>1035 SW Topeka Blvd, Topeka, KS 66612</t>
  </si>
  <si>
    <t>1" Emt Conduit With Pull String</t>
  </si>
  <si>
    <t>2#8 Stranded Cu Thhn/Thwn Wire</t>
  </si>
  <si>
    <t>3#12 Solid Cu Thhn/Thwn Wire</t>
  </si>
  <si>
    <t>4#10 Solid Cu Thhn/Thwn Wire</t>
  </si>
  <si>
    <t>1#10 Stranded Cu Thhn/Thwn Wire</t>
  </si>
  <si>
    <t>#8 Stranded Cu Thhn/Thwn Wire</t>
  </si>
  <si>
    <t>Photocell</t>
  </si>
  <si>
    <t>Time Clock</t>
  </si>
  <si>
    <t>2#14 Awg Cu Thhn Wire</t>
  </si>
  <si>
    <t>Fire Alarm Manual Station, Flush Mounted, Die Cast Metal Material</t>
  </si>
  <si>
    <t>8"Wx6" H Junction Box</t>
  </si>
  <si>
    <t>Electric Strike</t>
  </si>
  <si>
    <t>20A/1P Circuit Breaker With Handle Lock On Clip</t>
  </si>
  <si>
    <t>1-1/4" Emt Conduit For Power</t>
  </si>
  <si>
    <t>1" Emt Conduit (Spare)</t>
  </si>
  <si>
    <t>3#12 Awg Thhn/Thwn Wire</t>
  </si>
  <si>
    <t>4#12 Awg Thhn/Thwn Wire</t>
  </si>
  <si>
    <t>Keypad</t>
  </si>
  <si>
    <t>Pole Base Detail</t>
  </si>
  <si>
    <t>Existing Conditions</t>
  </si>
  <si>
    <t>Demolition</t>
  </si>
  <si>
    <t>Electrical Demolition</t>
  </si>
  <si>
    <t>Remove Existing Light Pole</t>
  </si>
  <si>
    <t>Remove Existing Spot Light</t>
  </si>
  <si>
    <t>Remove Existing Underground Utility</t>
  </si>
  <si>
    <t>#6 Cu Ground Wire</t>
  </si>
  <si>
    <t>3/4" Conn Ss Stl - Emt</t>
  </si>
  <si>
    <t>1" Conn Ss Stl - Emt</t>
  </si>
  <si>
    <t>1-1/2" Conn Ss Stl - Emt</t>
  </si>
  <si>
    <t>1/2" Conn Ss Stl - Emt</t>
  </si>
  <si>
    <t>2" Conn Ss Stl - Emt</t>
  </si>
  <si>
    <t>Equipment Grounding Conductor</t>
  </si>
  <si>
    <t>Cash Dispatch Door Contact And Heat Detector W/ Junction Box</t>
  </si>
  <si>
    <t>Site Elctrical</t>
  </si>
  <si>
    <t>P4 – Led Area Light – Type Iv W/ 30' Round Straight Steel Pole W/ Handhole &amp; Bolt Covers
Manufacturer: Gardco
Model: Opf-S</t>
  </si>
  <si>
    <t>P42 – Led Area Light – Type Iv W/ 30' Round Straight Steel Pole W/ Handhole &amp; Bolt Covers
Manufacturer: Gardco
Model: Opf-S</t>
  </si>
  <si>
    <t>3/4"X10' Cu Clad Ground Rod</t>
  </si>
  <si>
    <t>3/4" Rgs Conduit</t>
  </si>
  <si>
    <t>Grout Under Pole Base With Weep Hole 1" Chamfer</t>
  </si>
  <si>
    <t>Galvanized Anchor Bolts (4-Ea)</t>
  </si>
  <si>
    <t>Pvc To Steel Adaptor</t>
  </si>
  <si>
    <t>#6 Awg Cu-3/4" C</t>
  </si>
  <si>
    <t>Intersystem Ground Bars Per Nec Section 250.94</t>
  </si>
  <si>
    <t>Main Bonding Jumper Sized Per Nec</t>
  </si>
  <si>
    <t>#3/0 Awg-1" C Grounding Electrode Conductor</t>
  </si>
  <si>
    <t>Hydraulic Compression Or Exothermic Connection</t>
  </si>
  <si>
    <t>3/4"X10' Copper Clad Driven Ground Rod</t>
  </si>
  <si>
    <t>Grounding Electrode Conductor Ground Bar Per Nec</t>
  </si>
  <si>
    <t>Spd, Surge Protection Device</t>
  </si>
  <si>
    <t>4#1 Awg Cu, 1#8 Gnd  Cu Thw</t>
  </si>
  <si>
    <t>4#350 Kcmil Cu, 1#4 Gnd Cu Thw</t>
  </si>
  <si>
    <t>3#1, #8 Cu Thw</t>
  </si>
  <si>
    <t>4" Pvc Sch 40 Conduit With Pull String (Length &amp; Size Assumed)</t>
  </si>
  <si>
    <t>2" Pvc Sch 40 Conduit</t>
  </si>
  <si>
    <t>4" Pvc Sch 40 Conduit</t>
  </si>
  <si>
    <t>Building</t>
  </si>
  <si>
    <t>Ka – 2X2 Lay-In
Manufacturer: Williams
Model: Het</t>
  </si>
  <si>
    <t>1/2" Dia Fmc Conduit</t>
  </si>
  <si>
    <t>U2 – 2' Under Cabinet
Manufacturer: Williams
Model: 1Sf</t>
  </si>
  <si>
    <t>Hbe – 6" Recessed Downlight W/Lens W/Battery
Manufacturer: Williams
Model: 6Dr</t>
  </si>
  <si>
    <t>Hb – 6" Recessed Downlight W/Lens
Manufacturer: Williams
Model: 6Dr</t>
  </si>
  <si>
    <t>Wa4 – Wall Pack – Type Iv
Manufacturer: Williams
Model: Wmv</t>
  </si>
  <si>
    <t>Hd – 6" Recessed Downlight W/Drop Lens
Manufacturer: Vantage
Model: Vgc6Vefled</t>
  </si>
  <si>
    <t>Hc – 6" Recessed Downlight W/Lens
Manufacturer: Williams
Model: 6Dr</t>
  </si>
  <si>
    <t>Hce – 6" Recessed Downlight W/Lens W/Battery
Manufacturer: Williams
Model: 6Dr</t>
  </si>
  <si>
    <t>Xa – 1 Face Em Exit
Manufacturer: Chloride
Model: Er55Ld</t>
  </si>
  <si>
    <t>B – Fixture Provided By Owner
Manufacturer: Owner Provided
Model: N/A</t>
  </si>
  <si>
    <t>A – Fixture Provided By Owner
Manufacturer: Owner Provided
Model: N/A</t>
  </si>
  <si>
    <t>L – Canopy Mount Directional (Systems By Owner)
Manufacturer: Owner Provided
Model: N/A</t>
  </si>
  <si>
    <t>C1.2 – Cove Channel – 34'-0"
Manufacturer: Qtl
Model: Opti-Flat</t>
  </si>
  <si>
    <t>C1.1 – Cove Channel – 26'-0"
Manufacturer: Qtl
Model: Opti-Flat</t>
  </si>
  <si>
    <t>Single Pole Switch, Hubbell</t>
  </si>
  <si>
    <t>Dimmer Switch, P&amp;S Ps20Ac Series</t>
  </si>
  <si>
    <t>Note: Hubbelhbl 1220 Series</t>
  </si>
  <si>
    <t>Duplex Grounded Receptacle, Hubbell 5352A</t>
  </si>
  <si>
    <t>Ground Fault Duplex Receptacle, Hubbell Gfrst20</t>
  </si>
  <si>
    <t>Double Duplex Grounded Receptacle Hubbell</t>
  </si>
  <si>
    <t>Wp Ground Fault Duplex Receptacle, Hubbell #Wp26E</t>
  </si>
  <si>
    <t>Panel Lb_x000D_
Mains: 100A Mlo_x000D_
Voltage: 208Y/120 Volts, 3P, 4W</t>
  </si>
  <si>
    <t>Panel La_x000D_
Mains: 100A Mlo_x000D_
Voltage: 208Y/120 Volts, 3P, 4W</t>
  </si>
  <si>
    <t>Panel Mdp_x000D_
Mains: 300A Mlo_x000D_
Voltage: 208Y/120 Volts, 3P, 4W</t>
  </si>
  <si>
    <t>Note: Manufacturer: Square D</t>
  </si>
  <si>
    <t>20A/1P Gfci Circuit Breaker</t>
  </si>
  <si>
    <t>Note: Manufacturer: Square D I-Line</t>
  </si>
  <si>
    <t>Fustat Buss #Ssy</t>
  </si>
  <si>
    <t>2" Emt Conduit</t>
  </si>
  <si>
    <t>2#1/0 Awg, #1/0 Gnd Cu Thw</t>
  </si>
  <si>
    <t>1" Pvc Sch 40 Conduit</t>
  </si>
  <si>
    <t>2#4 Stranded Cu Thw Wire</t>
  </si>
  <si>
    <t>3/4" Lfmc Conduit</t>
  </si>
  <si>
    <t>1" Fmc Conduit</t>
  </si>
  <si>
    <t>1/2" Fmc Conduit</t>
  </si>
  <si>
    <t>1/2" Lfmc Conduit</t>
  </si>
  <si>
    <t>1/2" Rgs Conduit</t>
  </si>
  <si>
    <t>3/4" Pvc Sch 40 Conduit For Power</t>
  </si>
  <si>
    <t>Data Rack Provided By Owner</t>
  </si>
  <si>
    <t>(2_ 4" Pvc Sch 40 Conduit To I.T Room</t>
  </si>
  <si>
    <t>Card Reader W/ 4"X4"X2.5"D Back Box</t>
  </si>
  <si>
    <t>Comb. F.A. Speaker &amp; Vis Signal</t>
  </si>
  <si>
    <t>1 Relay Occupancy Sensor Sw</t>
  </si>
  <si>
    <t>8"X8"X4" Junction Box W/ Blank Cover Plate</t>
  </si>
  <si>
    <t>Magnetic Lock W/ 2"X4"X2"D Junction Box</t>
  </si>
  <si>
    <t>Electric Strike W/ 2"X4"X2" D Junction Box</t>
  </si>
  <si>
    <t>Cctv Cabling</t>
  </si>
  <si>
    <t>1-1/2" Pvc Sch 40 Conduit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</si>
</sst>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"/>
    <numFmt numFmtId="165" formatCode="_(&quot;$&quot;* #,##0_);_(&quot;$&quot;* \(#,##0\);_(&quot;$&quot;* &quot;-&quot;??_);_(@_)"/>
    <numFmt numFmtId="166" formatCode="_(&quot;$&quot;* #,##0_);_(&quot;$&quot;* \(#,##0\);_(&quot;$&quot;* &quot;-&quot;?_);_(@_)"/>
    <numFmt numFmtId="167" formatCode="_(&quot;$&quot;* #,##0.0_);_(&quot;$&quot;* \(#,##0.0\);_(&quot;$&quot;* &quot;-&quot;??_);_(@_)"/>
    <numFmt numFmtId="168" formatCode="_-&quot;$&quot;* #,##0_-;\-&quot;$&quot;* #,##0_-;_-&quot;$&quot;* &quot;-&quot;??_-;_-@_-"/>
    <numFmt numFmtId="169" formatCode="_(* #,##0_);_(* \(#,##0\);_(* &quot;-&quot;??_);_(@_)"/>
    <numFmt numFmtId="170" formatCode="0.000"/>
    <numFmt numFmtId="171" formatCode="0.0%"/>
    <numFmt numFmtId="172" formatCode="&quot;$&quot;#,##0.00"/>
    <numFmt numFmtId="173" formatCode="_-[$$-409]* #,##0.00_ ;_-[$$-409]* \-#,##0.00\ ;_-[$$-409]* &quot;-&quot;??_ ;_-@_ "/>
  </numFmts>
  <fonts count="94" x14ac:knownFonts="1">
    <font>
      <sz val="12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indexed="9"/>
      <name val="Calibri"/>
      <family val="2"/>
      <scheme val="minor"/>
    </font>
    <font>
      <u/>
      <sz val="12"/>
      <name val="Calibri"/>
      <family val="2"/>
      <scheme val="minor"/>
    </font>
    <font>
      <b/>
      <sz val="12"/>
      <color indexed="6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4"/>
      <color rgb="FFFF0000"/>
      <name val="Calibri"/>
      <family val="2"/>
      <scheme val="minor"/>
    </font>
    <font>
      <b/>
      <sz val="2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4"/>
      <name val="Calibri"/>
      <family val="2"/>
      <scheme val="minor"/>
    </font>
    <font>
      <sz val="12"/>
      <name val="Arial"/>
      <family val="2"/>
    </font>
    <font>
      <sz val="8"/>
      <name val="Arial"/>
      <family val="2"/>
    </font>
    <font>
      <b/>
      <sz val="13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2"/>
      <color rgb="FF333333"/>
      <name val="Calibri"/>
      <family val="2"/>
      <scheme val="minor"/>
    </font>
    <font>
      <u/>
      <sz val="12"/>
      <color theme="10"/>
      <name val="Arial"/>
      <family val="2"/>
    </font>
    <font>
      <b/>
      <sz val="12"/>
      <color theme="0" tint="-0.499984740745262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2"/>
      <color indexed="62"/>
      <name val="Calibri"/>
      <family val="2"/>
      <scheme val="minor"/>
    </font>
    <font>
      <b/>
      <sz val="19"/>
      <color theme="0"/>
      <name val="Calibri"/>
      <family val="2"/>
      <scheme val="minor"/>
    </font>
    <font>
      <b/>
      <u/>
      <sz val="12"/>
      <color theme="0" tint="-0.499984740745262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6"/>
      <color rgb="FF0000FF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8"/>
      <color rgb="FFEC6B0A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3"/>
      <name val="Calibri"/>
      <family val="2"/>
      <scheme val="minor"/>
    </font>
    <font>
      <b/>
      <sz val="16"/>
      <name val="Calibri"/>
      <family val="2"/>
      <scheme val="minor"/>
    </font>
    <font>
      <b/>
      <sz val="28"/>
      <color theme="2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b/>
      <sz val="16"/>
      <color theme="8" tint="-0.249977111117893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b/>
      <sz val="16"/>
      <color theme="7"/>
      <name val="Calibri"/>
      <family val="2"/>
      <scheme val="minor"/>
    </font>
    <font>
      <b/>
      <sz val="16"/>
      <color theme="6"/>
      <name val="Calibri"/>
      <family val="2"/>
      <scheme val="minor"/>
    </font>
    <font>
      <b/>
      <sz val="16"/>
      <color theme="5"/>
      <name val="Calibri"/>
      <family val="2"/>
      <scheme val="minor"/>
    </font>
    <font>
      <b/>
      <sz val="16"/>
      <color theme="0" tint="-0.499984740745262"/>
      <name val="Calibri"/>
      <family val="2"/>
      <scheme val="minor"/>
    </font>
    <font>
      <b/>
      <sz val="14"/>
      <color theme="0" tint="-0.499984740745262"/>
      <name val="Calibri"/>
      <family val="2"/>
      <scheme val="minor"/>
    </font>
    <font>
      <sz val="14"/>
      <color theme="0" tint="-0.499984740745262"/>
      <name val="Calibri"/>
      <family val="2"/>
      <scheme val="minor"/>
    </font>
    <font>
      <b/>
      <sz val="16"/>
      <color rgb="FFEC6B0A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0000FF"/>
      <name val="Calibri"/>
      <family val="2"/>
      <scheme val="minor"/>
    </font>
    <font>
      <sz val="12"/>
      <color theme="1"/>
      <name val="Segoe UI"/>
      <family val="2"/>
    </font>
    <font>
      <sz val="10"/>
      <color theme="1"/>
      <name val="Segoe UI"/>
      <family val="2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B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C6B0A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E1EB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-0.249977111117893"/>
        <bgColor indexed="64"/>
      </patternFill>
    </fill>
  </fills>
  <borders count="7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3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rgb="FFB2B2B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thin">
        <color rgb="FFB2B2B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2"/>
      </bottom>
      <diagonal/>
    </border>
    <border>
      <left/>
      <right style="thin">
        <color indexed="64"/>
      </right>
      <top/>
      <bottom style="double">
        <color indexed="62"/>
      </bottom>
      <diagonal/>
    </border>
    <border>
      <left style="thin">
        <color indexed="64"/>
      </left>
      <right/>
      <top style="double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2"/>
      </top>
      <bottom style="double">
        <color indexed="62"/>
      </bottom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2"/>
      </top>
      <bottom style="thin">
        <color indexed="64"/>
      </bottom>
      <diagonal/>
    </border>
    <border>
      <left/>
      <right/>
      <top style="double">
        <color indexed="62"/>
      </top>
      <bottom style="thin">
        <color indexed="64"/>
      </bottom>
      <diagonal/>
    </border>
    <border>
      <left/>
      <right/>
      <top style="thin">
        <color indexed="62"/>
      </top>
      <bottom style="thin">
        <color indexed="64"/>
      </bottom>
      <diagonal/>
    </border>
    <border>
      <left/>
      <right style="thin">
        <color indexed="64"/>
      </right>
      <top style="thin">
        <color indexed="62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145">
    <xf numFmtId="0" fontId="0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9" borderId="0" applyNumberFormat="0" applyBorder="0" applyAlignment="0" applyProtection="0"/>
    <xf numFmtId="0" fontId="20" fillId="3" borderId="0" applyNumberFormat="0" applyBorder="0" applyAlignment="0" applyProtection="0"/>
    <xf numFmtId="0" fontId="21" fillId="20" borderId="1" applyNumberFormat="0" applyAlignment="0" applyProtection="0"/>
    <xf numFmtId="0" fontId="22" fillId="21" borderId="2" applyNumberFormat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0" applyNumberFormat="0" applyFill="0" applyBorder="0" applyAlignment="0" applyProtection="0"/>
    <xf numFmtId="0" fontId="28" fillId="7" borderId="1" applyNumberFormat="0" applyAlignment="0" applyProtection="0"/>
    <xf numFmtId="0" fontId="29" fillId="0" borderId="6" applyNumberFormat="0" applyFill="0" applyAlignment="0" applyProtection="0"/>
    <xf numFmtId="0" fontId="30" fillId="22" borderId="0" applyNumberFormat="0" applyBorder="0" applyAlignment="0" applyProtection="0"/>
    <xf numFmtId="0" fontId="17" fillId="0" borderId="0"/>
    <xf numFmtId="0" fontId="17" fillId="23" borderId="7" applyNumberFormat="0" applyFont="0" applyAlignment="0" applyProtection="0"/>
    <xf numFmtId="0" fontId="31" fillId="20" borderId="8" applyNumberFormat="0" applyAlignment="0" applyProtection="0"/>
    <xf numFmtId="0" fontId="3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34" fillId="0" borderId="0" applyNumberFormat="0" applyFill="0" applyBorder="0" applyAlignment="0" applyProtection="0"/>
    <xf numFmtId="0" fontId="16" fillId="0" borderId="0"/>
    <xf numFmtId="0" fontId="35" fillId="0" borderId="0"/>
    <xf numFmtId="0" fontId="17" fillId="0" borderId="0"/>
    <xf numFmtId="43" fontId="35" fillId="0" borderId="0" applyFont="0" applyFill="0" applyBorder="0" applyAlignment="0" applyProtection="0"/>
    <xf numFmtId="0" fontId="36" fillId="0" borderId="0"/>
    <xf numFmtId="43" fontId="17" fillId="0" borderId="0" applyFont="0" applyFill="0" applyBorder="0" applyAlignment="0" applyProtection="0"/>
    <xf numFmtId="0" fontId="17" fillId="0" borderId="0"/>
    <xf numFmtId="44" fontId="36" fillId="0" borderId="0" applyFont="0" applyFill="0" applyBorder="0" applyAlignment="0" applyProtection="0"/>
    <xf numFmtId="0" fontId="15" fillId="0" borderId="0"/>
    <xf numFmtId="0" fontId="17" fillId="0" borderId="0"/>
    <xf numFmtId="0" fontId="15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44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17" fillId="23" borderId="13" applyNumberFormat="0" applyFont="0" applyAlignment="0" applyProtection="0"/>
    <xf numFmtId="0" fontId="11" fillId="0" borderId="0"/>
    <xf numFmtId="0" fontId="17" fillId="23" borderId="13" applyNumberFormat="0" applyFont="0" applyAlignment="0" applyProtection="0"/>
    <xf numFmtId="0" fontId="17" fillId="23" borderId="13" applyNumberFormat="0" applyFont="0" applyAlignment="0" applyProtection="0"/>
    <xf numFmtId="0" fontId="17" fillId="23" borderId="13" applyNumberFormat="0" applyFont="0" applyAlignment="0" applyProtection="0"/>
    <xf numFmtId="0" fontId="10" fillId="0" borderId="0"/>
    <xf numFmtId="0" fontId="17" fillId="23" borderId="23" applyNumberFormat="0" applyFont="0" applyAlignment="0" applyProtection="0"/>
    <xf numFmtId="0" fontId="17" fillId="23" borderId="23" applyNumberFormat="0" applyFont="0" applyAlignment="0" applyProtection="0"/>
    <xf numFmtId="0" fontId="17" fillId="23" borderId="23" applyNumberFormat="0" applyFont="0" applyAlignment="0" applyProtection="0"/>
    <xf numFmtId="0" fontId="17" fillId="23" borderId="23" applyNumberFormat="0" applyFont="0" applyAlignment="0" applyProtection="0"/>
    <xf numFmtId="0" fontId="17" fillId="23" borderId="23" applyNumberFormat="0" applyFont="0" applyAlignment="0" applyProtection="0"/>
    <xf numFmtId="44" fontId="52" fillId="0" borderId="0" applyFont="0" applyFill="0" applyBorder="0" applyAlignment="0" applyProtection="0"/>
    <xf numFmtId="9" fontId="52" fillId="0" borderId="0" applyFont="0" applyFill="0" applyBorder="0" applyAlignment="0" applyProtection="0"/>
    <xf numFmtId="0" fontId="31" fillId="20" borderId="25" applyNumberFormat="0" applyAlignment="0" applyProtection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7" fillId="23" borderId="30" applyNumberFormat="0" applyFont="0" applyAlignment="0" applyProtection="0"/>
    <xf numFmtId="0" fontId="17" fillId="23" borderId="30" applyNumberFormat="0" applyFont="0" applyAlignment="0" applyProtection="0"/>
    <xf numFmtId="0" fontId="17" fillId="23" borderId="30" applyNumberFormat="0" applyFont="0" applyAlignment="0" applyProtection="0"/>
    <xf numFmtId="0" fontId="31" fillId="20" borderId="31" applyNumberFormat="0" applyAlignment="0" applyProtection="0"/>
    <xf numFmtId="0" fontId="28" fillId="7" borderId="32" applyNumberFormat="0" applyAlignment="0" applyProtection="0"/>
    <xf numFmtId="0" fontId="31" fillId="20" borderId="31" applyNumberFormat="0" applyAlignment="0" applyProtection="0"/>
    <xf numFmtId="0" fontId="33" fillId="0" borderId="33" applyNumberFormat="0" applyFill="0" applyAlignment="0" applyProtection="0"/>
    <xf numFmtId="0" fontId="17" fillId="23" borderId="35" applyNumberFormat="0" applyFont="0" applyAlignment="0" applyProtection="0"/>
    <xf numFmtId="0" fontId="17" fillId="23" borderId="35" applyNumberFormat="0" applyFont="0" applyAlignment="0" applyProtection="0"/>
    <xf numFmtId="0" fontId="31" fillId="20" borderId="36" applyNumberFormat="0" applyAlignment="0" applyProtection="0"/>
    <xf numFmtId="0" fontId="17" fillId="23" borderId="35" applyNumberFormat="0" applyFont="0" applyAlignment="0" applyProtection="0"/>
    <xf numFmtId="0" fontId="28" fillId="7" borderId="37" applyNumberFormat="0" applyAlignment="0" applyProtection="0"/>
    <xf numFmtId="0" fontId="57" fillId="0" borderId="0" applyNumberFormat="0" applyFill="0" applyBorder="0" applyAlignment="0" applyProtection="0"/>
    <xf numFmtId="0" fontId="17" fillId="23" borderId="40" applyNumberFormat="0" applyFont="0" applyAlignment="0" applyProtection="0"/>
    <xf numFmtId="0" fontId="17" fillId="23" borderId="40" applyNumberFormat="0" applyFont="0" applyAlignment="0" applyProtection="0"/>
    <xf numFmtId="0" fontId="17" fillId="23" borderId="40" applyNumberFormat="0" applyFont="0" applyAlignment="0" applyProtection="0"/>
    <xf numFmtId="0" fontId="9" fillId="0" borderId="0"/>
    <xf numFmtId="0" fontId="8" fillId="0" borderId="0"/>
    <xf numFmtId="0" fontId="17" fillId="23" borderId="40" applyNumberFormat="0" applyFont="0" applyAlignment="0" applyProtection="0"/>
    <xf numFmtId="0" fontId="7" fillId="0" borderId="0"/>
    <xf numFmtId="0" fontId="28" fillId="7" borderId="37" applyNumberFormat="0" applyAlignment="0" applyProtection="0"/>
    <xf numFmtId="9" fontId="17" fillId="0" borderId="0" applyFont="0" applyFill="0" applyBorder="0" applyAlignment="0" applyProtection="0"/>
    <xf numFmtId="0" fontId="17" fillId="38" borderId="40" applyNumberFormat="0" applyFont="0" applyAlignment="0" applyProtection="0"/>
    <xf numFmtId="0" fontId="17" fillId="38" borderId="40" applyNumberFormat="0" applyFont="0" applyAlignment="0" applyProtection="0"/>
    <xf numFmtId="0" fontId="6" fillId="0" borderId="0"/>
    <xf numFmtId="43" fontId="17" fillId="0" borderId="0" applyFont="0" applyFill="0" applyBorder="0" applyAlignment="0" applyProtection="0"/>
    <xf numFmtId="0" fontId="5" fillId="0" borderId="0"/>
    <xf numFmtId="0" fontId="4" fillId="0" borderId="0"/>
    <xf numFmtId="0" fontId="21" fillId="20" borderId="37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23" borderId="40" applyNumberFormat="0" applyFont="0" applyAlignment="0" applyProtection="0"/>
    <xf numFmtId="0" fontId="17" fillId="23" borderId="40" applyNumberFormat="0" applyFont="0" applyAlignment="0" applyProtection="0"/>
    <xf numFmtId="0" fontId="17" fillId="23" borderId="40" applyNumberFormat="0" applyFont="0" applyAlignment="0" applyProtection="0"/>
    <xf numFmtId="0" fontId="4" fillId="0" borderId="0"/>
    <xf numFmtId="0" fontId="17" fillId="23" borderId="40" applyNumberFormat="0" applyFont="0" applyAlignment="0" applyProtection="0"/>
    <xf numFmtId="0" fontId="17" fillId="23" borderId="40" applyNumberFormat="0" applyFont="0" applyAlignment="0" applyProtection="0"/>
    <xf numFmtId="0" fontId="17" fillId="23" borderId="40" applyNumberFormat="0" applyFont="0" applyAlignment="0" applyProtection="0"/>
    <xf numFmtId="0" fontId="17" fillId="23" borderId="40" applyNumberFormat="0" applyFont="0" applyAlignment="0" applyProtection="0"/>
    <xf numFmtId="44" fontId="17" fillId="0" borderId="0" applyFont="0" applyFill="0" applyBorder="0" applyAlignment="0" applyProtection="0"/>
    <xf numFmtId="0" fontId="17" fillId="23" borderId="40" applyNumberFormat="0" applyFont="0" applyAlignment="0" applyProtection="0"/>
    <xf numFmtId="0" fontId="17" fillId="23" borderId="40" applyNumberFormat="0" applyFont="0" applyAlignment="0" applyProtection="0"/>
    <xf numFmtId="0" fontId="17" fillId="23" borderId="40" applyNumberFormat="0" applyFont="0" applyAlignment="0" applyProtection="0"/>
    <xf numFmtId="0" fontId="31" fillId="20" borderId="36" applyNumberFormat="0" applyAlignment="0" applyProtection="0"/>
    <xf numFmtId="0" fontId="17" fillId="23" borderId="40" applyNumberFormat="0" applyFont="0" applyAlignment="0" applyProtection="0"/>
    <xf numFmtId="0" fontId="17" fillId="23" borderId="40" applyNumberFormat="0" applyFont="0" applyAlignment="0" applyProtection="0"/>
    <xf numFmtId="0" fontId="17" fillId="23" borderId="40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17" fillId="23" borderId="40" applyNumberFormat="0" applyFont="0" applyAlignment="0" applyProtection="0"/>
    <xf numFmtId="0" fontId="2" fillId="0" borderId="0"/>
    <xf numFmtId="0" fontId="1" fillId="0" borderId="0"/>
    <xf numFmtId="0" fontId="17" fillId="23" borderId="40" applyNumberFormat="0" applyFont="0" applyAlignment="0" applyProtection="0"/>
  </cellStyleXfs>
  <cellXfs count="351">
    <xf numFmtId="0" fontId="0" fillId="0" borderId="0" xfId="0"/>
    <xf numFmtId="0" fontId="37" fillId="0" borderId="0" xfId="0" applyFont="1" applyAlignment="1">
      <alignment vertical="top"/>
    </xf>
    <xf numFmtId="0" fontId="40" fillId="0" borderId="0" xfId="0" applyFont="1" applyAlignment="1">
      <alignment vertical="center"/>
    </xf>
    <xf numFmtId="0" fontId="39" fillId="0" borderId="0" xfId="0" applyFont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2" fontId="37" fillId="0" borderId="0" xfId="0" applyNumberFormat="1" applyFont="1" applyAlignment="1">
      <alignment horizontal="center" vertical="center" wrapText="1"/>
    </xf>
    <xf numFmtId="2" fontId="37" fillId="0" borderId="0" xfId="0" applyNumberFormat="1" applyFont="1" applyAlignment="1">
      <alignment vertical="center" wrapText="1"/>
    </xf>
    <xf numFmtId="0" fontId="37" fillId="0" borderId="0" xfId="45" applyFont="1" applyAlignment="1">
      <alignment vertical="center"/>
    </xf>
    <xf numFmtId="0" fontId="37" fillId="0" borderId="11" xfId="0" applyFont="1" applyBorder="1" applyAlignment="1">
      <alignment horizontal="center" vertical="center"/>
    </xf>
    <xf numFmtId="9" fontId="37" fillId="0" borderId="11" xfId="62" applyFont="1" applyFill="1" applyBorder="1" applyAlignment="1">
      <alignment horizontal="center" vertical="center"/>
    </xf>
    <xf numFmtId="0" fontId="41" fillId="0" borderId="11" xfId="39" applyFont="1" applyFill="1" applyBorder="1" applyAlignment="1">
      <alignment vertical="center" wrapText="1"/>
    </xf>
    <xf numFmtId="0" fontId="56" fillId="0" borderId="11" xfId="0" applyFont="1" applyBorder="1" applyAlignment="1">
      <alignment vertical="center" wrapText="1"/>
    </xf>
    <xf numFmtId="0" fontId="59" fillId="0" borderId="0" xfId="0" applyFont="1" applyAlignment="1">
      <alignment vertical="top"/>
    </xf>
    <xf numFmtId="166" fontId="37" fillId="0" borderId="0" xfId="45" applyNumberFormat="1" applyFont="1" applyAlignment="1">
      <alignment vertical="center"/>
    </xf>
    <xf numFmtId="9" fontId="37" fillId="0" borderId="0" xfId="62" applyFont="1" applyAlignment="1">
      <alignment vertical="center"/>
    </xf>
    <xf numFmtId="0" fontId="61" fillId="0" borderId="0" xfId="0" applyFont="1"/>
    <xf numFmtId="0" fontId="60" fillId="0" borderId="0" xfId="0" applyFont="1" applyAlignment="1">
      <alignment horizontal="center"/>
    </xf>
    <xf numFmtId="0" fontId="60" fillId="0" borderId="0" xfId="0" applyFont="1"/>
    <xf numFmtId="9" fontId="61" fillId="0" borderId="0" xfId="0" applyNumberFormat="1" applyFont="1"/>
    <xf numFmtId="171" fontId="61" fillId="0" borderId="0" xfId="0" applyNumberFormat="1" applyFont="1"/>
    <xf numFmtId="0" fontId="7" fillId="0" borderId="0" xfId="99"/>
    <xf numFmtId="0" fontId="7" fillId="0" borderId="0" xfId="99" applyAlignment="1">
      <alignment horizontal="center"/>
    </xf>
    <xf numFmtId="44" fontId="61" fillId="0" borderId="0" xfId="61" applyFont="1"/>
    <xf numFmtId="165" fontId="54" fillId="24" borderId="10" xfId="61" applyNumberFormat="1" applyFont="1" applyFill="1" applyBorder="1" applyAlignment="1">
      <alignment horizontal="left" vertical="center" wrapText="1"/>
    </xf>
    <xf numFmtId="165" fontId="54" fillId="24" borderId="16" xfId="61" applyNumberFormat="1" applyFont="1" applyFill="1" applyBorder="1" applyAlignment="1">
      <alignment horizontal="left" vertical="center" wrapText="1"/>
    </xf>
    <xf numFmtId="165" fontId="54" fillId="24" borderId="27" xfId="61" applyNumberFormat="1" applyFont="1" applyFill="1" applyBorder="1" applyAlignment="1">
      <alignment horizontal="left" vertical="center" wrapText="1"/>
    </xf>
    <xf numFmtId="169" fontId="51" fillId="28" borderId="39" xfId="63" applyNumberFormat="1" applyFont="1" applyFill="1" applyBorder="1" applyAlignment="1">
      <alignment horizontal="center" vertical="center"/>
    </xf>
    <xf numFmtId="9" fontId="55" fillId="28" borderId="0" xfId="62" applyFont="1" applyFill="1" applyBorder="1" applyAlignment="1">
      <alignment horizontal="center" vertical="center"/>
    </xf>
    <xf numFmtId="9" fontId="55" fillId="28" borderId="15" xfId="62" applyFont="1" applyFill="1" applyBorder="1" applyAlignment="1">
      <alignment horizontal="center" vertical="center"/>
    </xf>
    <xf numFmtId="2" fontId="44" fillId="28" borderId="26" xfId="0" applyNumberFormat="1" applyFont="1" applyFill="1" applyBorder="1" applyAlignment="1">
      <alignment horizontal="right" vertical="center"/>
    </xf>
    <xf numFmtId="171" fontId="55" fillId="28" borderId="26" xfId="62" applyNumberFormat="1" applyFont="1" applyFill="1" applyBorder="1" applyAlignment="1">
      <alignment horizontal="center" vertical="center"/>
    </xf>
    <xf numFmtId="2" fontId="37" fillId="28" borderId="43" xfId="0" applyNumberFormat="1" applyFont="1" applyFill="1" applyBorder="1" applyAlignment="1">
      <alignment horizontal="center" vertical="center" wrapText="1"/>
    </xf>
    <xf numFmtId="0" fontId="42" fillId="28" borderId="44" xfId="34" applyFont="1" applyFill="1" applyBorder="1" applyAlignment="1" applyProtection="1">
      <alignment horizontal="right"/>
    </xf>
    <xf numFmtId="9" fontId="48" fillId="28" borderId="45" xfId="62" applyFont="1" applyFill="1" applyBorder="1" applyAlignment="1">
      <alignment horizontal="center" vertical="center"/>
    </xf>
    <xf numFmtId="2" fontId="37" fillId="28" borderId="16" xfId="0" applyNumberFormat="1" applyFont="1" applyFill="1" applyBorder="1" applyAlignment="1">
      <alignment horizontal="center" vertical="center" wrapText="1"/>
    </xf>
    <xf numFmtId="0" fontId="42" fillId="28" borderId="15" xfId="34" applyFont="1" applyFill="1" applyBorder="1" applyAlignment="1" applyProtection="1">
      <alignment horizontal="right"/>
    </xf>
    <xf numFmtId="9" fontId="48" fillId="28" borderId="34" xfId="62" applyFont="1" applyFill="1" applyBorder="1" applyAlignment="1">
      <alignment horizontal="center" vertical="center"/>
    </xf>
    <xf numFmtId="0" fontId="65" fillId="0" borderId="0" xfId="0" applyFont="1"/>
    <xf numFmtId="0" fontId="70" fillId="24" borderId="22" xfId="41" applyFont="1" applyFill="1" applyBorder="1" applyAlignment="1">
      <alignment horizontal="center" vertical="center"/>
    </xf>
    <xf numFmtId="0" fontId="70" fillId="0" borderId="22" xfId="41" applyFont="1" applyFill="1" applyBorder="1" applyAlignment="1">
      <alignment vertical="center"/>
    </xf>
    <xf numFmtId="164" fontId="70" fillId="24" borderId="22" xfId="41" applyNumberFormat="1" applyFont="1" applyFill="1" applyBorder="1" applyAlignment="1" applyProtection="1">
      <alignment horizontal="center" vertical="center"/>
    </xf>
    <xf numFmtId="0" fontId="70" fillId="24" borderId="33" xfId="41" applyFont="1" applyFill="1" applyBorder="1" applyAlignment="1">
      <alignment horizontal="center" vertical="center"/>
    </xf>
    <xf numFmtId="0" fontId="70" fillId="0" borderId="33" xfId="41" applyFont="1" applyFill="1" applyBorder="1" applyAlignment="1">
      <alignment vertical="center"/>
    </xf>
    <xf numFmtId="164" fontId="70" fillId="24" borderId="33" xfId="41" applyNumberFormat="1" applyFont="1" applyFill="1" applyBorder="1" applyAlignment="1" applyProtection="1">
      <alignment horizontal="center" vertical="center"/>
    </xf>
    <xf numFmtId="171" fontId="70" fillId="0" borderId="33" xfId="41" applyNumberFormat="1" applyFont="1" applyFill="1" applyBorder="1" applyAlignment="1">
      <alignment horizontal="center" vertical="center"/>
    </xf>
    <xf numFmtId="165" fontId="70" fillId="24" borderId="33" xfId="41" applyNumberFormat="1" applyFont="1" applyFill="1" applyBorder="1" applyAlignment="1">
      <alignment horizontal="left" vertical="center"/>
    </xf>
    <xf numFmtId="0" fontId="70" fillId="24" borderId="17" xfId="41" applyFont="1" applyFill="1" applyBorder="1" applyAlignment="1">
      <alignment vertical="center"/>
    </xf>
    <xf numFmtId="9" fontId="70" fillId="0" borderId="33" xfId="41" applyNumberFormat="1" applyFont="1" applyFill="1" applyBorder="1" applyAlignment="1">
      <alignment horizontal="center" vertical="center"/>
    </xf>
    <xf numFmtId="0" fontId="42" fillId="29" borderId="11" xfId="0" applyFont="1" applyFill="1" applyBorder="1" applyAlignment="1">
      <alignment horizontal="center" vertical="center" wrapText="1"/>
    </xf>
    <xf numFmtId="1" fontId="37" fillId="32" borderId="41" xfId="38" applyNumberFormat="1" applyFont="1" applyFill="1" applyBorder="1" applyAlignment="1">
      <alignment horizontal="center" vertical="center"/>
    </xf>
    <xf numFmtId="169" fontId="37" fillId="33" borderId="40" xfId="63" applyNumberFormat="1" applyFont="1" applyFill="1" applyBorder="1" applyAlignment="1">
      <alignment horizontal="center" vertical="center"/>
    </xf>
    <xf numFmtId="9" fontId="37" fillId="33" borderId="40" xfId="62" applyFont="1" applyFill="1" applyBorder="1" applyAlignment="1">
      <alignment horizontal="right" vertical="center"/>
    </xf>
    <xf numFmtId="169" fontId="37" fillId="33" borderId="40" xfId="63" applyNumberFormat="1" applyFont="1" applyFill="1" applyBorder="1" applyAlignment="1">
      <alignment horizontal="right" vertical="center"/>
    </xf>
    <xf numFmtId="169" fontId="38" fillId="33" borderId="11" xfId="63" applyNumberFormat="1" applyFont="1" applyFill="1" applyBorder="1" applyAlignment="1">
      <alignment horizontal="center" vertical="center" wrapText="1"/>
    </xf>
    <xf numFmtId="0" fontId="38" fillId="32" borderId="11" xfId="38" applyNumberFormat="1" applyFont="1" applyFill="1" applyBorder="1" applyAlignment="1">
      <alignment horizontal="center" vertical="center" wrapText="1"/>
    </xf>
    <xf numFmtId="0" fontId="37" fillId="33" borderId="40" xfId="64" applyFont="1" applyFill="1" applyBorder="1" applyAlignment="1">
      <alignment horizontal="center" vertical="center"/>
    </xf>
    <xf numFmtId="0" fontId="37" fillId="33" borderId="40" xfId="38" applyFont="1" applyFill="1" applyBorder="1" applyAlignment="1">
      <alignment horizontal="center" vertical="center"/>
    </xf>
    <xf numFmtId="167" fontId="37" fillId="33" borderId="40" xfId="38" applyNumberFormat="1" applyFont="1" applyFill="1" applyBorder="1" applyAlignment="1">
      <alignment horizontal="right" vertical="center"/>
    </xf>
    <xf numFmtId="167" fontId="37" fillId="33" borderId="40" xfId="38" applyNumberFormat="1" applyFont="1" applyFill="1" applyBorder="1" applyAlignment="1">
      <alignment vertical="center"/>
    </xf>
    <xf numFmtId="43" fontId="37" fillId="33" borderId="40" xfId="38" applyNumberFormat="1" applyFont="1" applyFill="1" applyBorder="1" applyAlignment="1">
      <alignment horizontal="center" vertical="center"/>
    </xf>
    <xf numFmtId="167" fontId="37" fillId="32" borderId="40" xfId="38" applyNumberFormat="1" applyFont="1" applyFill="1" applyBorder="1" applyAlignment="1">
      <alignment horizontal="right" vertical="center"/>
    </xf>
    <xf numFmtId="166" fontId="37" fillId="36" borderId="40" xfId="38" applyNumberFormat="1" applyFont="1" applyFill="1" applyBorder="1" applyAlignment="1" applyProtection="1">
      <alignment horizontal="left" vertical="center"/>
    </xf>
    <xf numFmtId="1" fontId="37" fillId="32" borderId="49" xfId="38" applyNumberFormat="1" applyFont="1" applyFill="1" applyBorder="1" applyAlignment="1">
      <alignment horizontal="center" vertical="center"/>
    </xf>
    <xf numFmtId="172" fontId="71" fillId="31" borderId="11" xfId="38" applyNumberFormat="1" applyFont="1" applyFill="1" applyBorder="1" applyAlignment="1">
      <alignment vertical="center"/>
    </xf>
    <xf numFmtId="44" fontId="37" fillId="36" borderId="11" xfId="61" applyFont="1" applyFill="1" applyBorder="1" applyAlignment="1" applyProtection="1">
      <alignment horizontal="left" vertical="center"/>
    </xf>
    <xf numFmtId="172" fontId="71" fillId="31" borderId="11" xfId="38" applyNumberFormat="1" applyFont="1" applyFill="1" applyBorder="1" applyAlignment="1">
      <alignment horizontal="center" vertical="center"/>
    </xf>
    <xf numFmtId="173" fontId="61" fillId="0" borderId="0" xfId="0" applyNumberFormat="1" applyFont="1"/>
    <xf numFmtId="171" fontId="70" fillId="0" borderId="22" xfId="41" applyNumberFormat="1" applyFont="1" applyFill="1" applyBorder="1" applyAlignment="1">
      <alignment horizontal="center" vertical="center"/>
    </xf>
    <xf numFmtId="165" fontId="70" fillId="24" borderId="22" xfId="41" applyNumberFormat="1" applyFont="1" applyFill="1" applyBorder="1" applyAlignment="1">
      <alignment horizontal="left" vertical="center"/>
    </xf>
    <xf numFmtId="0" fontId="68" fillId="28" borderId="11" xfId="0" applyFont="1" applyFill="1" applyBorder="1" applyAlignment="1">
      <alignment horizontal="right"/>
    </xf>
    <xf numFmtId="0" fontId="37" fillId="0" borderId="0" xfId="0" applyFont="1"/>
    <xf numFmtId="0" fontId="75" fillId="0" borderId="0" xfId="0" applyFont="1"/>
    <xf numFmtId="0" fontId="77" fillId="0" borderId="0" xfId="0" applyFont="1"/>
    <xf numFmtId="43" fontId="58" fillId="0" borderId="0" xfId="63" applyFont="1" applyBorder="1" applyAlignment="1"/>
    <xf numFmtId="43" fontId="59" fillId="0" borderId="0" xfId="63" applyFont="1" applyBorder="1" applyAlignment="1"/>
    <xf numFmtId="0" fontId="85" fillId="0" borderId="0" xfId="0" applyFont="1"/>
    <xf numFmtId="169" fontId="58" fillId="0" borderId="0" xfId="63" applyNumberFormat="1" applyFont="1" applyBorder="1"/>
    <xf numFmtId="0" fontId="37" fillId="24" borderId="10" xfId="0" applyFont="1" applyFill="1" applyBorder="1" applyAlignment="1">
      <alignment vertical="top"/>
    </xf>
    <xf numFmtId="2" fontId="38" fillId="24" borderId="12" xfId="0" applyNumberFormat="1" applyFont="1" applyFill="1" applyBorder="1" applyAlignment="1">
      <alignment vertical="center" wrapText="1"/>
    </xf>
    <xf numFmtId="2" fontId="37" fillId="24" borderId="12" xfId="0" applyNumberFormat="1" applyFont="1" applyFill="1" applyBorder="1" applyAlignment="1">
      <alignment vertical="center" wrapText="1"/>
    </xf>
    <xf numFmtId="168" fontId="68" fillId="28" borderId="11" xfId="0" applyNumberFormat="1" applyFont="1" applyFill="1" applyBorder="1"/>
    <xf numFmtId="0" fontId="69" fillId="0" borderId="0" xfId="0" applyFont="1" applyAlignment="1">
      <alignment vertical="top"/>
    </xf>
    <xf numFmtId="0" fontId="75" fillId="24" borderId="10" xfId="0" applyFont="1" applyFill="1" applyBorder="1" applyAlignment="1">
      <alignment vertical="center" wrapText="1"/>
    </xf>
    <xf numFmtId="165" fontId="51" fillId="24" borderId="0" xfId="61" applyNumberFormat="1" applyFont="1" applyFill="1" applyBorder="1" applyAlignment="1">
      <alignment horizontal="justify" vertical="center" wrapText="1"/>
    </xf>
    <xf numFmtId="0" fontId="37" fillId="24" borderId="10" xfId="0" applyFont="1" applyFill="1" applyBorder="1" applyAlignment="1">
      <alignment horizontal="center" vertical="center"/>
    </xf>
    <xf numFmtId="0" fontId="37" fillId="24" borderId="16" xfId="0" applyFont="1" applyFill="1" applyBorder="1" applyAlignment="1">
      <alignment vertical="top"/>
    </xf>
    <xf numFmtId="0" fontId="37" fillId="24" borderId="15" xfId="0" applyFont="1" applyFill="1" applyBorder="1" applyAlignment="1">
      <alignment horizontal="center" vertical="center"/>
    </xf>
    <xf numFmtId="2" fontId="37" fillId="24" borderId="15" xfId="0" applyNumberFormat="1" applyFont="1" applyFill="1" applyBorder="1" applyAlignment="1">
      <alignment vertical="top" wrapText="1"/>
    </xf>
    <xf numFmtId="2" fontId="37" fillId="24" borderId="15" xfId="0" applyNumberFormat="1" applyFont="1" applyFill="1" applyBorder="1" applyAlignment="1">
      <alignment horizontal="center" vertical="center" wrapText="1"/>
    </xf>
    <xf numFmtId="2" fontId="37" fillId="24" borderId="15" xfId="0" applyNumberFormat="1" applyFont="1" applyFill="1" applyBorder="1" applyAlignment="1">
      <alignment vertical="center" wrapText="1"/>
    </xf>
    <xf numFmtId="2" fontId="37" fillId="24" borderId="34" xfId="0" applyNumberFormat="1" applyFont="1" applyFill="1" applyBorder="1" applyAlignment="1">
      <alignment vertical="center" wrapText="1"/>
    </xf>
    <xf numFmtId="2" fontId="37" fillId="0" borderId="0" xfId="0" applyNumberFormat="1" applyFont="1" applyAlignment="1">
      <alignment vertical="top" wrapText="1"/>
    </xf>
    <xf numFmtId="164" fontId="37" fillId="0" borderId="0" xfId="0" applyNumberFormat="1" applyFont="1" applyAlignment="1">
      <alignment vertical="center"/>
    </xf>
    <xf numFmtId="0" fontId="87" fillId="35" borderId="11" xfId="0" applyFont="1" applyFill="1" applyBorder="1" applyAlignment="1">
      <alignment horizontal="center" vertical="center" wrapText="1"/>
    </xf>
    <xf numFmtId="0" fontId="88" fillId="35" borderId="47" xfId="0" applyFont="1" applyFill="1" applyBorder="1" applyAlignment="1">
      <alignment horizontal="center" vertical="center"/>
    </xf>
    <xf numFmtId="0" fontId="46" fillId="35" borderId="50" xfId="0" applyFont="1" applyFill="1" applyBorder="1" applyAlignment="1">
      <alignment horizontal="center" vertical="center"/>
    </xf>
    <xf numFmtId="169" fontId="37" fillId="33" borderId="40" xfId="48" applyNumberFormat="1" applyFont="1" applyFill="1" applyBorder="1" applyAlignment="1">
      <alignment horizontal="center" vertical="center"/>
    </xf>
    <xf numFmtId="1" fontId="37" fillId="32" borderId="41" xfId="93" applyNumberFormat="1" applyFont="1" applyFill="1" applyBorder="1" applyAlignment="1">
      <alignment horizontal="center" vertical="center"/>
    </xf>
    <xf numFmtId="0" fontId="90" fillId="35" borderId="50" xfId="0" applyFont="1" applyFill="1" applyBorder="1" applyAlignment="1">
      <alignment horizontal="center" vertical="center"/>
    </xf>
    <xf numFmtId="9" fontId="37" fillId="33" borderId="40" xfId="101" applyFont="1" applyFill="1" applyBorder="1" applyAlignment="1">
      <alignment horizontal="right" vertical="center"/>
    </xf>
    <xf numFmtId="169" fontId="37" fillId="33" borderId="40" xfId="48" applyNumberFormat="1" applyFont="1" applyFill="1" applyBorder="1" applyAlignment="1">
      <alignment horizontal="right" vertical="center"/>
    </xf>
    <xf numFmtId="1" fontId="37" fillId="32" borderId="49" xfId="93" applyNumberFormat="1" applyFont="1" applyFill="1" applyBorder="1" applyAlignment="1">
      <alignment horizontal="center" vertical="center"/>
    </xf>
    <xf numFmtId="0" fontId="37" fillId="33" borderId="40" xfId="48" applyNumberFormat="1" applyFont="1" applyFill="1" applyBorder="1" applyAlignment="1">
      <alignment horizontal="center" vertical="center"/>
    </xf>
    <xf numFmtId="14" fontId="67" fillId="28" borderId="44" xfId="0" applyNumberFormat="1" applyFont="1" applyFill="1" applyBorder="1" applyAlignment="1">
      <alignment horizontal="left"/>
    </xf>
    <xf numFmtId="1" fontId="70" fillId="24" borderId="22" xfId="41" applyNumberFormat="1" applyFont="1" applyFill="1" applyBorder="1" applyAlignment="1">
      <alignment horizontal="left" vertical="center"/>
    </xf>
    <xf numFmtId="1" fontId="70" fillId="24" borderId="33" xfId="41" applyNumberFormat="1" applyFont="1" applyFill="1" applyBorder="1" applyAlignment="1">
      <alignment horizontal="left" vertical="center"/>
    </xf>
    <xf numFmtId="1" fontId="37" fillId="0" borderId="0" xfId="0" applyNumberFormat="1" applyFont="1" applyAlignment="1">
      <alignment horizontal="center" vertical="center"/>
    </xf>
    <xf numFmtId="165" fontId="38" fillId="25" borderId="11" xfId="78" applyNumberFormat="1" applyFont="1" applyFill="1" applyBorder="1" applyAlignment="1">
      <alignment vertical="center"/>
    </xf>
    <xf numFmtId="44" fontId="38" fillId="27" borderId="11" xfId="78" applyFont="1" applyFill="1" applyBorder="1" applyAlignment="1">
      <alignment vertical="center"/>
    </xf>
    <xf numFmtId="41" fontId="37" fillId="0" borderId="12" xfId="45" applyNumberFormat="1" applyFont="1" applyBorder="1" applyAlignment="1">
      <alignment vertical="center"/>
    </xf>
    <xf numFmtId="0" fontId="91" fillId="35" borderId="47" xfId="0" applyFont="1" applyFill="1" applyBorder="1" applyAlignment="1">
      <alignment horizontal="center" vertical="center"/>
    </xf>
    <xf numFmtId="1" fontId="37" fillId="32" borderId="41" xfId="95" applyNumberFormat="1" applyFont="1" applyFill="1" applyBorder="1" applyAlignment="1">
      <alignment horizontal="center" vertical="center"/>
    </xf>
    <xf numFmtId="0" fontId="37" fillId="32" borderId="51" xfId="102" applyFont="1" applyFill="1" applyBorder="1" applyAlignment="1">
      <alignment horizontal="justify" vertical="center" wrapText="1"/>
    </xf>
    <xf numFmtId="169" fontId="37" fillId="33" borderId="52" xfId="48" applyNumberFormat="1" applyFont="1" applyFill="1" applyBorder="1" applyAlignment="1">
      <alignment horizontal="center" vertical="center"/>
    </xf>
    <xf numFmtId="1" fontId="37" fillId="32" borderId="49" xfId="95" applyNumberFormat="1" applyFont="1" applyFill="1" applyBorder="1" applyAlignment="1">
      <alignment horizontal="center" vertical="center"/>
    </xf>
    <xf numFmtId="169" fontId="37" fillId="33" borderId="40" xfId="105" applyNumberFormat="1" applyFont="1" applyFill="1" applyBorder="1" applyAlignment="1">
      <alignment horizontal="center" vertical="center"/>
    </xf>
    <xf numFmtId="9" fontId="37" fillId="33" borderId="40" xfId="79" applyFont="1" applyFill="1" applyBorder="1" applyAlignment="1">
      <alignment horizontal="right" vertical="center"/>
    </xf>
    <xf numFmtId="0" fontId="37" fillId="32" borderId="51" xfId="102" applyFont="1" applyFill="1" applyBorder="1" applyAlignment="1">
      <alignment horizontal="right" vertical="center" wrapText="1"/>
    </xf>
    <xf numFmtId="0" fontId="37" fillId="32" borderId="0" xfId="102" applyFont="1" applyFill="1" applyBorder="1" applyAlignment="1">
      <alignment horizontal="right" vertical="center" wrapText="1"/>
    </xf>
    <xf numFmtId="0" fontId="62" fillId="7" borderId="53" xfId="100" applyFont="1" applyBorder="1" applyAlignment="1">
      <alignment horizontal="justify" vertical="center"/>
    </xf>
    <xf numFmtId="0" fontId="37" fillId="32" borderId="51" xfId="94" applyFont="1" applyFill="1" applyBorder="1" applyAlignment="1">
      <alignment horizontal="justify" vertical="center" wrapText="1"/>
    </xf>
    <xf numFmtId="169" fontId="51" fillId="28" borderId="15" xfId="48" applyNumberFormat="1" applyFont="1" applyFill="1" applyBorder="1" applyAlignment="1">
      <alignment horizontal="center" vertical="center"/>
    </xf>
    <xf numFmtId="169" fontId="51" fillId="28" borderId="39" xfId="48" applyNumberFormat="1" applyFont="1" applyFill="1" applyBorder="1" applyAlignment="1">
      <alignment horizontal="center" vertical="center"/>
    </xf>
    <xf numFmtId="169" fontId="51" fillId="28" borderId="39" xfId="48" applyNumberFormat="1" applyFont="1" applyFill="1" applyBorder="1" applyAlignment="1">
      <alignment horizontal="left" vertical="center"/>
    </xf>
    <xf numFmtId="2" fontId="37" fillId="24" borderId="0" xfId="0" applyNumberFormat="1" applyFont="1" applyFill="1" applyAlignment="1">
      <alignment vertical="center" wrapText="1"/>
    </xf>
    <xf numFmtId="2" fontId="37" fillId="24" borderId="0" xfId="0" applyNumberFormat="1" applyFont="1" applyFill="1" applyAlignment="1">
      <alignment horizontal="center" vertical="center" wrapText="1"/>
    </xf>
    <xf numFmtId="44" fontId="44" fillId="27" borderId="11" xfId="78" applyFont="1" applyFill="1" applyBorder="1" applyAlignment="1">
      <alignment horizontal="center" vertical="center" wrapText="1"/>
    </xf>
    <xf numFmtId="165" fontId="44" fillId="25" borderId="11" xfId="78" applyNumberFormat="1" applyFont="1" applyFill="1" applyBorder="1" applyAlignment="1">
      <alignment horizontal="center" vertical="center" wrapText="1"/>
    </xf>
    <xf numFmtId="44" fontId="38" fillId="27" borderId="11" xfId="78" applyFont="1" applyFill="1" applyBorder="1" applyAlignment="1">
      <alignment vertical="center" wrapText="1"/>
    </xf>
    <xf numFmtId="165" fontId="38" fillId="25" borderId="11" xfId="78" applyNumberFormat="1" applyFont="1" applyFill="1" applyBorder="1" applyAlignment="1">
      <alignment vertical="center" wrapText="1"/>
    </xf>
    <xf numFmtId="44" fontId="58" fillId="27" borderId="11" xfId="78" applyFont="1" applyFill="1" applyBorder="1" applyAlignment="1">
      <alignment horizontal="right" vertical="center" wrapText="1"/>
    </xf>
    <xf numFmtId="171" fontId="58" fillId="25" borderId="11" xfId="62" applyNumberFormat="1" applyFont="1" applyFill="1" applyBorder="1" applyAlignment="1">
      <alignment horizontal="left" vertical="center" wrapText="1"/>
    </xf>
    <xf numFmtId="171" fontId="58" fillId="25" borderId="11" xfId="79" applyNumberFormat="1" applyFont="1" applyFill="1" applyBorder="1" applyAlignment="1">
      <alignment horizontal="left" vertical="center" wrapText="1"/>
    </xf>
    <xf numFmtId="0" fontId="37" fillId="0" borderId="11" xfId="0" applyFont="1" applyBorder="1" applyAlignment="1">
      <alignment vertical="top"/>
    </xf>
    <xf numFmtId="14" fontId="67" fillId="24" borderId="0" xfId="0" applyNumberFormat="1" applyFont="1" applyFill="1" applyAlignment="1">
      <alignment horizontal="left" vertical="center"/>
    </xf>
    <xf numFmtId="0" fontId="37" fillId="24" borderId="12" xfId="0" applyFont="1" applyFill="1" applyBorder="1" applyAlignment="1">
      <alignment vertical="top"/>
    </xf>
    <xf numFmtId="0" fontId="37" fillId="24" borderId="0" xfId="0" applyFont="1" applyFill="1" applyAlignment="1">
      <alignment horizontal="center" vertical="center"/>
    </xf>
    <xf numFmtId="2" fontId="37" fillId="24" borderId="12" xfId="0" applyNumberFormat="1" applyFont="1" applyFill="1" applyBorder="1" applyAlignment="1">
      <alignment horizontal="center" vertical="center" wrapText="1"/>
    </xf>
    <xf numFmtId="1" fontId="37" fillId="0" borderId="41" xfId="38" applyNumberFormat="1" applyFont="1" applyFill="1" applyBorder="1" applyAlignment="1">
      <alignment horizontal="center" vertical="center"/>
    </xf>
    <xf numFmtId="41" fontId="37" fillId="0" borderId="57" xfId="45" applyNumberFormat="1" applyFont="1" applyBorder="1" applyAlignment="1">
      <alignment horizontal="center" vertical="center"/>
    </xf>
    <xf numFmtId="41" fontId="37" fillId="0" borderId="58" xfId="45" applyNumberFormat="1" applyFont="1" applyBorder="1" applyAlignment="1">
      <alignment horizontal="center" vertical="center"/>
    </xf>
    <xf numFmtId="1" fontId="37" fillId="24" borderId="41" xfId="38" applyNumberFormat="1" applyFont="1" applyFill="1" applyBorder="1" applyAlignment="1">
      <alignment horizontal="center" vertical="center"/>
    </xf>
    <xf numFmtId="41" fontId="37" fillId="0" borderId="58" xfId="45" applyNumberFormat="1" applyFont="1" applyBorder="1" applyAlignment="1">
      <alignment vertical="center"/>
    </xf>
    <xf numFmtId="165" fontId="70" fillId="24" borderId="60" xfId="41" applyNumberFormat="1" applyFont="1" applyFill="1" applyBorder="1" applyAlignment="1">
      <alignment vertical="center"/>
    </xf>
    <xf numFmtId="0" fontId="70" fillId="24" borderId="61" xfId="41" applyFont="1" applyFill="1" applyBorder="1" applyAlignment="1">
      <alignment vertical="center"/>
    </xf>
    <xf numFmtId="165" fontId="70" fillId="24" borderId="62" xfId="41" applyNumberFormat="1" applyFont="1" applyFill="1" applyBorder="1" applyAlignment="1">
      <alignment vertical="center"/>
    </xf>
    <xf numFmtId="2" fontId="54" fillId="28" borderId="44" xfId="0" applyNumberFormat="1" applyFont="1" applyFill="1" applyBorder="1" applyAlignment="1">
      <alignment horizontal="right"/>
    </xf>
    <xf numFmtId="2" fontId="45" fillId="28" borderId="44" xfId="0" applyNumberFormat="1" applyFont="1" applyFill="1" applyBorder="1" applyAlignment="1">
      <alignment horizontal="right" vertical="center"/>
    </xf>
    <xf numFmtId="165" fontId="54" fillId="24" borderId="43" xfId="61" applyNumberFormat="1" applyFont="1" applyFill="1" applyBorder="1" applyAlignment="1">
      <alignment horizontal="left" vertical="center" wrapText="1"/>
    </xf>
    <xf numFmtId="2" fontId="37" fillId="24" borderId="45" xfId="0" applyNumberFormat="1" applyFont="1" applyFill="1" applyBorder="1" applyAlignment="1">
      <alignment vertical="center" wrapText="1"/>
    </xf>
    <xf numFmtId="2" fontId="37" fillId="28" borderId="10" xfId="0" applyNumberFormat="1" applyFont="1" applyFill="1" applyBorder="1" applyAlignment="1">
      <alignment horizontal="center" vertical="center" wrapText="1"/>
    </xf>
    <xf numFmtId="0" fontId="43" fillId="24" borderId="12" xfId="0" applyFont="1" applyFill="1" applyBorder="1" applyAlignment="1">
      <alignment horizontal="left" vertical="center"/>
    </xf>
    <xf numFmtId="0" fontId="38" fillId="28" borderId="15" xfId="0" applyFont="1" applyFill="1" applyBorder="1" applyAlignment="1">
      <alignment horizontal="center" vertical="center"/>
    </xf>
    <xf numFmtId="2" fontId="49" fillId="28" borderId="15" xfId="0" applyNumberFormat="1" applyFont="1" applyFill="1" applyBorder="1" applyAlignment="1">
      <alignment horizontal="right" vertical="center"/>
    </xf>
    <xf numFmtId="165" fontId="45" fillId="24" borderId="16" xfId="61" applyNumberFormat="1" applyFont="1" applyFill="1" applyBorder="1" applyAlignment="1">
      <alignment horizontal="left" vertical="center" wrapText="1"/>
    </xf>
    <xf numFmtId="2" fontId="38" fillId="24" borderId="44" xfId="0" applyNumberFormat="1" applyFont="1" applyFill="1" applyBorder="1" applyAlignment="1">
      <alignment horizontal="left" vertical="center"/>
    </xf>
    <xf numFmtId="0" fontId="43" fillId="24" borderId="16" xfId="0" applyFont="1" applyFill="1" applyBorder="1" applyAlignment="1">
      <alignment horizontal="left" vertical="center"/>
    </xf>
    <xf numFmtId="0" fontId="43" fillId="24" borderId="15" xfId="0" applyFont="1" applyFill="1" applyBorder="1" applyAlignment="1">
      <alignment horizontal="left" vertical="center"/>
    </xf>
    <xf numFmtId="0" fontId="43" fillId="24" borderId="15" xfId="0" applyFont="1" applyFill="1" applyBorder="1" applyAlignment="1">
      <alignment horizontal="center" vertical="center"/>
    </xf>
    <xf numFmtId="0" fontId="69" fillId="28" borderId="54" xfId="0" applyFont="1" applyFill="1" applyBorder="1"/>
    <xf numFmtId="0" fontId="68" fillId="28" borderId="39" xfId="0" applyFont="1" applyFill="1" applyBorder="1" applyAlignment="1">
      <alignment horizontal="center" vertical="center"/>
    </xf>
    <xf numFmtId="0" fontId="37" fillId="28" borderId="39" xfId="0" applyFont="1" applyFill="1" applyBorder="1" applyAlignment="1">
      <alignment horizontal="center" vertical="center"/>
    </xf>
    <xf numFmtId="14" fontId="67" fillId="28" borderId="48" xfId="0" applyNumberFormat="1" applyFont="1" applyFill="1" applyBorder="1" applyAlignment="1">
      <alignment horizontal="left" vertical="center"/>
    </xf>
    <xf numFmtId="2" fontId="37" fillId="28" borderId="44" xfId="0" applyNumberFormat="1" applyFont="1" applyFill="1" applyBorder="1" applyAlignment="1">
      <alignment horizontal="center" vertical="center" wrapText="1"/>
    </xf>
    <xf numFmtId="0" fontId="68" fillId="28" borderId="44" xfId="0" applyFont="1" applyFill="1" applyBorder="1" applyAlignment="1">
      <alignment horizontal="right"/>
    </xf>
    <xf numFmtId="0" fontId="37" fillId="28" borderId="44" xfId="0" applyFont="1" applyFill="1" applyBorder="1" applyAlignment="1">
      <alignment horizontal="center" vertical="center"/>
    </xf>
    <xf numFmtId="2" fontId="37" fillId="28" borderId="44" xfId="0" applyNumberFormat="1" applyFont="1" applyFill="1" applyBorder="1" applyAlignment="1">
      <alignment vertical="center" wrapText="1"/>
    </xf>
    <xf numFmtId="2" fontId="37" fillId="28" borderId="45" xfId="0" applyNumberFormat="1" applyFont="1" applyFill="1" applyBorder="1" applyAlignment="1">
      <alignment vertical="center" wrapText="1"/>
    </xf>
    <xf numFmtId="2" fontId="37" fillId="28" borderId="12" xfId="0" applyNumberFormat="1" applyFont="1" applyFill="1" applyBorder="1" applyAlignment="1">
      <alignment vertical="center" wrapText="1"/>
    </xf>
    <xf numFmtId="2" fontId="37" fillId="28" borderId="15" xfId="0" applyNumberFormat="1" applyFont="1" applyFill="1" applyBorder="1" applyAlignment="1">
      <alignment horizontal="center" vertical="center" wrapText="1"/>
    </xf>
    <xf numFmtId="2" fontId="51" fillId="28" borderId="15" xfId="0" applyNumberFormat="1" applyFont="1" applyFill="1" applyBorder="1" applyAlignment="1">
      <alignment horizontal="right"/>
    </xf>
    <xf numFmtId="169" fontId="51" fillId="28" borderId="39" xfId="63" applyNumberFormat="1" applyFont="1" applyFill="1" applyBorder="1" applyAlignment="1">
      <alignment horizontal="left" vertical="center"/>
    </xf>
    <xf numFmtId="0" fontId="37" fillId="28" borderId="15" xfId="0" applyFont="1" applyFill="1" applyBorder="1" applyAlignment="1">
      <alignment horizontal="center" vertical="center"/>
    </xf>
    <xf numFmtId="2" fontId="37" fillId="28" borderId="15" xfId="0" applyNumberFormat="1" applyFont="1" applyFill="1" applyBorder="1" applyAlignment="1">
      <alignment vertical="center" wrapText="1"/>
    </xf>
    <xf numFmtId="2" fontId="37" fillId="28" borderId="34" xfId="0" applyNumberFormat="1" applyFont="1" applyFill="1" applyBorder="1" applyAlignment="1">
      <alignment vertical="center" wrapText="1"/>
    </xf>
    <xf numFmtId="0" fontId="42" fillId="29" borderId="48" xfId="0" applyFont="1" applyFill="1" applyBorder="1" applyAlignment="1">
      <alignment horizontal="center" vertical="center" wrapText="1"/>
    </xf>
    <xf numFmtId="0" fontId="37" fillId="32" borderId="51" xfId="38" applyNumberFormat="1" applyFont="1" applyFill="1" applyBorder="1" applyAlignment="1">
      <alignment vertical="center" wrapText="1"/>
    </xf>
    <xf numFmtId="0" fontId="62" fillId="7" borderId="53" xfId="84" applyFont="1" applyBorder="1" applyAlignment="1">
      <alignment horizontal="justify" vertical="center"/>
    </xf>
    <xf numFmtId="0" fontId="92" fillId="37" borderId="51" xfId="94" applyFont="1" applyFill="1" applyBorder="1" applyAlignment="1">
      <alignment horizontal="center" vertical="center" wrapText="1"/>
    </xf>
    <xf numFmtId="0" fontId="37" fillId="32" borderId="63" xfId="102" applyFont="1" applyFill="1" applyBorder="1" applyAlignment="1">
      <alignment horizontal="justify" vertical="center" wrapText="1"/>
    </xf>
    <xf numFmtId="0" fontId="62" fillId="7" borderId="53" xfId="100" applyFont="1" applyBorder="1" applyAlignment="1">
      <alignment horizontal="left" vertical="center"/>
    </xf>
    <xf numFmtId="0" fontId="62" fillId="7" borderId="53" xfId="100" applyFont="1" applyBorder="1" applyAlignment="1">
      <alignment horizontal="center" vertical="center"/>
    </xf>
    <xf numFmtId="1" fontId="37" fillId="32" borderId="64" xfId="38" applyNumberFormat="1" applyFont="1" applyFill="1" applyBorder="1" applyAlignment="1">
      <alignment horizontal="center" vertical="center"/>
    </xf>
    <xf numFmtId="1" fontId="37" fillId="32" borderId="64" xfId="93" applyNumberFormat="1" applyFont="1" applyFill="1" applyBorder="1" applyAlignment="1">
      <alignment horizontal="center" vertical="center"/>
    </xf>
    <xf numFmtId="1" fontId="37" fillId="32" borderId="64" xfId="95" applyNumberFormat="1" applyFont="1" applyFill="1" applyBorder="1" applyAlignment="1">
      <alignment horizontal="center" vertical="center"/>
    </xf>
    <xf numFmtId="0" fontId="37" fillId="0" borderId="10" xfId="0" applyFont="1" applyBorder="1"/>
    <xf numFmtId="0" fontId="37" fillId="0" borderId="12" xfId="0" applyFont="1" applyBorder="1"/>
    <xf numFmtId="0" fontId="77" fillId="0" borderId="10" xfId="0" applyFont="1" applyBorder="1"/>
    <xf numFmtId="0" fontId="77" fillId="0" borderId="12" xfId="0" applyFont="1" applyBorder="1"/>
    <xf numFmtId="0" fontId="85" fillId="0" borderId="10" xfId="0" applyFont="1" applyBorder="1"/>
    <xf numFmtId="0" fontId="37" fillId="0" borderId="16" xfId="0" applyFont="1" applyBorder="1"/>
    <xf numFmtId="0" fontId="37" fillId="0" borderId="15" xfId="0" applyFont="1" applyBorder="1"/>
    <xf numFmtId="0" fontId="37" fillId="0" borderId="34" xfId="0" applyFont="1" applyBorder="1"/>
    <xf numFmtId="2" fontId="37" fillId="24" borderId="0" xfId="0" applyNumberFormat="1" applyFont="1" applyFill="1" applyAlignment="1">
      <alignment vertical="top" wrapText="1"/>
    </xf>
    <xf numFmtId="2" fontId="38" fillId="24" borderId="0" xfId="0" applyNumberFormat="1" applyFont="1" applyFill="1" applyAlignment="1">
      <alignment vertical="center" wrapText="1"/>
    </xf>
    <xf numFmtId="0" fontId="68" fillId="24" borderId="0" xfId="0" applyFont="1" applyFill="1" applyAlignment="1">
      <alignment horizontal="right"/>
    </xf>
    <xf numFmtId="168" fontId="50" fillId="24" borderId="0" xfId="0" applyNumberFormat="1" applyFont="1" applyFill="1"/>
    <xf numFmtId="168" fontId="67" fillId="24" borderId="0" xfId="0" applyNumberFormat="1" applyFont="1" applyFill="1" applyAlignment="1">
      <alignment horizontal="left"/>
    </xf>
    <xf numFmtId="168" fontId="67" fillId="24" borderId="0" xfId="0" applyNumberFormat="1" applyFont="1" applyFill="1" applyAlignment="1">
      <alignment horizontal="left" vertical="top"/>
    </xf>
    <xf numFmtId="0" fontId="68" fillId="24" borderId="0" xfId="0" applyFont="1" applyFill="1" applyAlignment="1">
      <alignment horizontal="right" vertical="center"/>
    </xf>
    <xf numFmtId="0" fontId="69" fillId="24" borderId="0" xfId="0" applyFont="1" applyFill="1" applyAlignment="1">
      <alignment horizontal="center" vertical="center"/>
    </xf>
    <xf numFmtId="0" fontId="37" fillId="24" borderId="0" xfId="0" applyFont="1" applyFill="1" applyAlignment="1">
      <alignment vertical="center"/>
    </xf>
    <xf numFmtId="0" fontId="69" fillId="24" borderId="0" xfId="0" applyFont="1" applyFill="1" applyAlignment="1">
      <alignment horizontal="left" vertical="center"/>
    </xf>
    <xf numFmtId="165" fontId="69" fillId="24" borderId="0" xfId="61" applyNumberFormat="1" applyFont="1" applyFill="1" applyBorder="1" applyAlignment="1">
      <alignment vertical="center"/>
    </xf>
    <xf numFmtId="165" fontId="69" fillId="24" borderId="0" xfId="61" applyNumberFormat="1" applyFont="1" applyFill="1" applyBorder="1" applyAlignment="1">
      <alignment vertical="center" wrapText="1"/>
    </xf>
    <xf numFmtId="49" fontId="69" fillId="24" borderId="0" xfId="0" applyNumberFormat="1" applyFont="1" applyFill="1" applyAlignment="1">
      <alignment vertical="center" wrapText="1"/>
    </xf>
    <xf numFmtId="2" fontId="69" fillId="24" borderId="0" xfId="0" applyNumberFormat="1" applyFont="1" applyFill="1" applyAlignment="1">
      <alignment vertical="center" wrapText="1"/>
    </xf>
    <xf numFmtId="0" fontId="69" fillId="24" borderId="0" xfId="0" applyFont="1" applyFill="1" applyAlignment="1">
      <alignment vertical="center"/>
    </xf>
    <xf numFmtId="0" fontId="73" fillId="31" borderId="11" xfId="77" applyFont="1" applyFill="1" applyBorder="1" applyAlignment="1">
      <alignment horizontal="center" vertical="center" wrapText="1"/>
    </xf>
    <xf numFmtId="165" fontId="51" fillId="24" borderId="11" xfId="61" applyNumberFormat="1" applyFont="1" applyFill="1" applyBorder="1" applyAlignment="1">
      <alignment horizontal="justify" vertical="center" wrapText="1"/>
    </xf>
    <xf numFmtId="9" fontId="45" fillId="30" borderId="11" xfId="79" applyFont="1" applyFill="1" applyBorder="1" applyAlignment="1">
      <alignment horizontal="center" vertical="center"/>
    </xf>
    <xf numFmtId="2" fontId="64" fillId="0" borderId="43" xfId="0" applyNumberFormat="1" applyFont="1" applyBorder="1" applyAlignment="1">
      <alignment vertical="center"/>
    </xf>
    <xf numFmtId="2" fontId="64" fillId="0" borderId="44" xfId="0" applyNumberFormat="1" applyFont="1" applyBorder="1" applyAlignment="1">
      <alignment vertical="center" wrapText="1"/>
    </xf>
    <xf numFmtId="2" fontId="58" fillId="0" borderId="44" xfId="0" applyNumberFormat="1" applyFont="1" applyBorder="1" applyAlignment="1">
      <alignment vertical="center" wrapText="1"/>
    </xf>
    <xf numFmtId="2" fontId="58" fillId="0" borderId="45" xfId="0" applyNumberFormat="1" applyFont="1" applyBorder="1" applyAlignment="1">
      <alignment vertical="center" wrapText="1"/>
    </xf>
    <xf numFmtId="10" fontId="55" fillId="28" borderId="0" xfId="62" applyNumberFormat="1" applyFont="1" applyFill="1" applyBorder="1" applyAlignment="1">
      <alignment horizontal="center" vertical="center"/>
    </xf>
    <xf numFmtId="0" fontId="92" fillId="39" borderId="51" xfId="94" applyFont="1" applyFill="1" applyBorder="1" applyAlignment="1">
      <alignment horizontal="center" vertical="center" wrapText="1"/>
    </xf>
    <xf numFmtId="0" fontId="37" fillId="32" borderId="0" xfId="102" applyFont="1" applyFill="1" applyBorder="1" applyAlignment="1">
      <alignment horizontal="justify" vertical="center" wrapText="1"/>
    </xf>
    <xf numFmtId="169" fontId="37" fillId="25" borderId="40" xfId="105" applyNumberFormat="1" applyFont="1" applyFill="1" applyBorder="1" applyAlignment="1">
      <alignment horizontal="center" vertical="center"/>
    </xf>
    <xf numFmtId="0" fontId="93" fillId="25" borderId="51" xfId="102" applyFont="1" applyFill="1" applyBorder="1" applyAlignment="1">
      <alignment horizontal="justify" vertical="center" wrapText="1"/>
    </xf>
    <xf numFmtId="0" fontId="93" fillId="32" borderId="0" xfId="94" applyFont="1" applyFill="1" applyBorder="1" applyAlignment="1">
      <alignment horizontal="justify" vertical="center" wrapText="1"/>
    </xf>
    <xf numFmtId="0" fontId="93" fillId="25" borderId="51" xfId="94" applyFont="1" applyFill="1" applyBorder="1" applyAlignment="1">
      <alignment horizontal="justify" vertical="center" wrapText="1"/>
    </xf>
    <xf numFmtId="1" fontId="37" fillId="24" borderId="41" xfId="93" applyNumberFormat="1" applyFont="1" applyFill="1" applyBorder="1" applyAlignment="1">
      <alignment horizontal="center" vertical="center"/>
    </xf>
    <xf numFmtId="44" fontId="37" fillId="40" borderId="11" xfId="61" applyFont="1" applyFill="1" applyBorder="1" applyAlignment="1" applyProtection="1">
      <alignment horizontal="left" vertical="center"/>
    </xf>
    <xf numFmtId="165" fontId="38" fillId="25" borderId="11" xfId="78" applyNumberFormat="1" applyFont="1" applyFill="1" applyBorder="1" applyAlignment="1">
      <alignment vertical="top"/>
    </xf>
    <xf numFmtId="0" fontId="37" fillId="24" borderId="0" xfId="0" applyFont="1" applyFill="1" applyAlignment="1">
      <alignment vertical="top"/>
    </xf>
    <xf numFmtId="2" fontId="54" fillId="28" borderId="0" xfId="0" applyNumberFormat="1" applyFont="1" applyFill="1" applyAlignment="1">
      <alignment horizontal="right" vertical="center"/>
    </xf>
    <xf numFmtId="2" fontId="37" fillId="28" borderId="0" xfId="0" applyNumberFormat="1" applyFont="1" applyFill="1" applyAlignment="1">
      <alignment horizontal="center" vertical="center" wrapText="1"/>
    </xf>
    <xf numFmtId="0" fontId="68" fillId="28" borderId="0" xfId="0" applyFont="1" applyFill="1" applyAlignment="1">
      <alignment horizontal="right"/>
    </xf>
    <xf numFmtId="168" fontId="67" fillId="28" borderId="0" xfId="0" applyNumberFormat="1" applyFont="1" applyFill="1"/>
    <xf numFmtId="0" fontId="37" fillId="28" borderId="0" xfId="0" applyFont="1" applyFill="1" applyAlignment="1">
      <alignment horizontal="center" vertical="center"/>
    </xf>
    <xf numFmtId="2" fontId="37" fillId="28" borderId="0" xfId="0" applyNumberFormat="1" applyFont="1" applyFill="1" applyAlignment="1">
      <alignment vertical="center" wrapText="1"/>
    </xf>
    <xf numFmtId="168" fontId="67" fillId="28" borderId="0" xfId="0" applyNumberFormat="1" applyFont="1" applyFill="1" applyAlignment="1">
      <alignment horizontal="left"/>
    </xf>
    <xf numFmtId="168" fontId="50" fillId="28" borderId="0" xfId="0" applyNumberFormat="1" applyFont="1" applyFill="1"/>
    <xf numFmtId="2" fontId="51" fillId="28" borderId="0" xfId="0" applyNumberFormat="1" applyFont="1" applyFill="1" applyAlignment="1">
      <alignment horizontal="right"/>
    </xf>
    <xf numFmtId="0" fontId="51" fillId="28" borderId="0" xfId="0" applyFont="1" applyFill="1" applyAlignment="1">
      <alignment horizontal="right"/>
    </xf>
    <xf numFmtId="2" fontId="38" fillId="24" borderId="0" xfId="0" applyNumberFormat="1" applyFont="1" applyFill="1" applyAlignment="1">
      <alignment vertical="center"/>
    </xf>
    <xf numFmtId="0" fontId="68" fillId="24" borderId="0" xfId="0" applyFont="1" applyFill="1" applyAlignment="1">
      <alignment horizontal="center" vertical="center"/>
    </xf>
    <xf numFmtId="170" fontId="37" fillId="33" borderId="40" xfId="144" applyNumberFormat="1" applyFont="1" applyFill="1" applyAlignment="1">
      <alignment horizontal="center" vertical="center"/>
    </xf>
    <xf numFmtId="170" fontId="37" fillId="33" borderId="40" xfId="94" applyNumberFormat="1" applyFont="1" applyFill="1" applyAlignment="1">
      <alignment horizontal="center" vertical="center"/>
    </xf>
    <xf numFmtId="43" fontId="37" fillId="33" borderId="40" xfId="93" applyNumberFormat="1" applyFont="1" applyFill="1" applyAlignment="1">
      <alignment horizontal="center" vertical="center"/>
    </xf>
    <xf numFmtId="167" fontId="37" fillId="33" borderId="40" xfId="93" applyNumberFormat="1" applyFont="1" applyFill="1" applyAlignment="1">
      <alignment horizontal="right" vertical="center"/>
    </xf>
    <xf numFmtId="167" fontId="37" fillId="32" borderId="40" xfId="93" applyNumberFormat="1" applyFont="1" applyFill="1" applyAlignment="1">
      <alignment horizontal="right" vertical="center"/>
    </xf>
    <xf numFmtId="166" fontId="37" fillId="36" borderId="40" xfId="93" applyNumberFormat="1" applyFont="1" applyFill="1" applyAlignment="1" applyProtection="1">
      <alignment horizontal="left" vertical="center"/>
    </xf>
    <xf numFmtId="170" fontId="37" fillId="33" borderId="40" xfId="102" applyNumberFormat="1" applyFont="1" applyFill="1" applyAlignment="1">
      <alignment horizontal="center" vertical="center"/>
    </xf>
    <xf numFmtId="43" fontId="37" fillId="33" borderId="40" xfId="95" applyNumberFormat="1" applyFont="1" applyFill="1" applyAlignment="1">
      <alignment horizontal="center" vertical="center"/>
    </xf>
    <xf numFmtId="167" fontId="37" fillId="33" borderId="40" xfId="95" applyNumberFormat="1" applyFont="1" applyFill="1" applyAlignment="1">
      <alignment horizontal="right" vertical="center"/>
    </xf>
    <xf numFmtId="167" fontId="37" fillId="32" borderId="40" xfId="95" applyNumberFormat="1" applyFont="1" applyFill="1" applyAlignment="1">
      <alignment horizontal="right" vertical="center"/>
    </xf>
    <xf numFmtId="166" fontId="37" fillId="36" borderId="40" xfId="95" applyNumberFormat="1" applyFont="1" applyFill="1" applyAlignment="1" applyProtection="1">
      <alignment horizontal="left" vertical="center"/>
    </xf>
    <xf numFmtId="0" fontId="70" fillId="24" borderId="68" xfId="41" applyFont="1" applyFill="1" applyBorder="1" applyAlignment="1">
      <alignment horizontal="center" vertical="center"/>
    </xf>
    <xf numFmtId="1" fontId="70" fillId="24" borderId="68" xfId="41" applyNumberFormat="1" applyFont="1" applyFill="1" applyBorder="1" applyAlignment="1">
      <alignment horizontal="left" vertical="center"/>
    </xf>
    <xf numFmtId="0" fontId="70" fillId="0" borderId="68" xfId="41" applyFont="1" applyFill="1" applyBorder="1" applyAlignment="1">
      <alignment vertical="center"/>
    </xf>
    <xf numFmtId="164" fontId="70" fillId="24" borderId="68" xfId="41" applyNumberFormat="1" applyFont="1" applyFill="1" applyBorder="1" applyAlignment="1" applyProtection="1">
      <alignment horizontal="center" vertical="center"/>
    </xf>
    <xf numFmtId="0" fontId="70" fillId="24" borderId="68" xfId="41" applyFont="1" applyFill="1" applyBorder="1" applyAlignment="1">
      <alignment vertical="center"/>
    </xf>
    <xf numFmtId="166" fontId="70" fillId="24" borderId="68" xfId="41" applyNumberFormat="1" applyFont="1" applyFill="1" applyBorder="1" applyAlignment="1">
      <alignment horizontal="left" vertical="center"/>
    </xf>
    <xf numFmtId="42" fontId="70" fillId="0" borderId="69" xfId="41" applyNumberFormat="1" applyFont="1" applyFill="1" applyBorder="1" applyAlignment="1">
      <alignment vertical="center"/>
    </xf>
    <xf numFmtId="0" fontId="92" fillId="41" borderId="38" xfId="89" applyFont="1" applyFill="1" applyBorder="1" applyAlignment="1">
      <alignment horizontal="center" vertical="center"/>
    </xf>
    <xf numFmtId="0" fontId="92" fillId="41" borderId="24" xfId="89" applyFont="1" applyFill="1" applyBorder="1" applyAlignment="1">
      <alignment horizontal="center" vertical="center"/>
    </xf>
    <xf numFmtId="0" fontId="92" fillId="41" borderId="15" xfId="89" applyFont="1" applyFill="1" applyBorder="1" applyAlignment="1">
      <alignment vertical="center"/>
    </xf>
    <xf numFmtId="169" fontId="92" fillId="41" borderId="15" xfId="48" applyNumberFormat="1" applyFont="1" applyFill="1" applyBorder="1" applyAlignment="1">
      <alignment horizontal="center" vertical="center"/>
    </xf>
    <xf numFmtId="169" fontId="92" fillId="41" borderId="15" xfId="48" applyNumberFormat="1" applyFont="1" applyFill="1" applyBorder="1" applyAlignment="1">
      <alignment vertical="center"/>
    </xf>
    <xf numFmtId="42" fontId="92" fillId="41" borderId="24" xfId="89" applyNumberFormat="1" applyFont="1" applyFill="1" applyBorder="1" applyAlignment="1">
      <alignment vertical="center"/>
    </xf>
    <xf numFmtId="1" fontId="37" fillId="24" borderId="70" xfId="38" applyNumberFormat="1" applyFont="1" applyFill="1" applyBorder="1" applyAlignment="1">
      <alignment horizontal="center" vertical="center"/>
    </xf>
    <xf numFmtId="1" fontId="37" fillId="34" borderId="70" xfId="38" applyNumberFormat="1" applyFont="1" applyFill="1" applyBorder="1" applyAlignment="1">
      <alignment horizontal="center" vertical="center"/>
    </xf>
    <xf numFmtId="1" fontId="37" fillId="35" borderId="70" xfId="38" applyNumberFormat="1" applyFont="1" applyFill="1" applyBorder="1" applyAlignment="1">
      <alignment horizontal="center" vertical="center"/>
    </xf>
    <xf numFmtId="0" fontId="37" fillId="34" borderId="71" xfId="38" applyFont="1" applyFill="1" applyBorder="1" applyAlignment="1">
      <alignment horizontal="center" vertical="center"/>
    </xf>
    <xf numFmtId="0" fontId="37" fillId="34" borderId="63" xfId="38" applyFont="1" applyFill="1" applyBorder="1" applyAlignment="1">
      <alignment horizontal="justify" vertical="center" wrapText="1"/>
    </xf>
    <xf numFmtId="0" fontId="37" fillId="33" borderId="52" xfId="64" applyFont="1" applyFill="1" applyBorder="1" applyAlignment="1">
      <alignment horizontal="center" vertical="center"/>
    </xf>
    <xf numFmtId="0" fontId="37" fillId="35" borderId="72" xfId="38" applyFont="1" applyFill="1" applyBorder="1" applyAlignment="1">
      <alignment horizontal="center" vertical="center"/>
    </xf>
    <xf numFmtId="0" fontId="37" fillId="33" borderId="52" xfId="38" applyFont="1" applyFill="1" applyBorder="1" applyAlignment="1">
      <alignment horizontal="center" vertical="center"/>
    </xf>
    <xf numFmtId="167" fontId="37" fillId="33" borderId="52" xfId="38" applyNumberFormat="1" applyFont="1" applyFill="1" applyBorder="1" applyAlignment="1">
      <alignment horizontal="right" vertical="center"/>
    </xf>
    <xf numFmtId="167" fontId="37" fillId="32" borderId="52" xfId="38" applyNumberFormat="1" applyFont="1" applyFill="1" applyBorder="1" applyAlignment="1">
      <alignment horizontal="right" vertical="center"/>
    </xf>
    <xf numFmtId="166" fontId="37" fillId="36" borderId="52" xfId="38" applyNumberFormat="1" applyFont="1" applyFill="1" applyBorder="1" applyAlignment="1" applyProtection="1">
      <alignment horizontal="left" vertical="center"/>
    </xf>
    <xf numFmtId="0" fontId="70" fillId="24" borderId="11" xfId="41" applyFont="1" applyFill="1" applyBorder="1" applyAlignment="1">
      <alignment horizontal="right" vertical="center"/>
    </xf>
    <xf numFmtId="169" fontId="70" fillId="0" borderId="11" xfId="63" applyNumberFormat="1" applyFont="1" applyFill="1" applyBorder="1" applyAlignment="1">
      <alignment vertical="center"/>
    </xf>
    <xf numFmtId="0" fontId="70" fillId="0" borderId="11" xfId="41" applyFont="1" applyFill="1" applyBorder="1" applyAlignment="1">
      <alignment vertical="center"/>
    </xf>
    <xf numFmtId="42" fontId="70" fillId="0" borderId="11" xfId="41" applyNumberFormat="1" applyFont="1" applyFill="1" applyBorder="1" applyAlignment="1">
      <alignment vertical="center"/>
    </xf>
    <xf numFmtId="42" fontId="70" fillId="24" borderId="11" xfId="41" applyNumberFormat="1" applyFont="1" applyFill="1" applyBorder="1" applyAlignment="1">
      <alignment vertical="center"/>
    </xf>
    <xf numFmtId="0" fontId="37" fillId="32" borderId="51" xfId="94" applyFont="1" applyFill="1" applyBorder="1" applyAlignment="1">
      <alignment horizontal="right" vertical="center" wrapText="1"/>
    </xf>
    <xf numFmtId="0" fontId="79" fillId="0" borderId="0" xfId="0" applyFont="1"/>
    <xf numFmtId="0" fontId="84" fillId="0" borderId="0" xfId="0" applyFont="1"/>
    <xf numFmtId="0" fontId="58" fillId="0" borderId="0" xfId="0" applyFont="1"/>
    <xf numFmtId="171" fontId="58" fillId="0" borderId="0" xfId="0" applyNumberFormat="1" applyFont="1"/>
    <xf numFmtId="0" fontId="84" fillId="0" borderId="0" xfId="0" applyFont="1" applyAlignment="1">
      <alignment vertical="center"/>
    </xf>
    <xf numFmtId="0" fontId="58" fillId="0" borderId="0" xfId="0" applyFont="1" applyAlignment="1">
      <alignment horizontal="center"/>
    </xf>
    <xf numFmtId="0" fontId="79" fillId="0" borderId="0" xfId="0" applyFont="1" applyAlignment="1">
      <alignment vertical="top"/>
    </xf>
    <xf numFmtId="0" fontId="70" fillId="24" borderId="61" xfId="41" applyFont="1" applyFill="1" applyBorder="1" applyAlignment="1">
      <alignment horizontal="left" vertical="center"/>
    </xf>
    <xf numFmtId="0" fontId="70" fillId="24" borderId="17" xfId="41" applyFont="1" applyFill="1" applyBorder="1" applyAlignment="1">
      <alignment horizontal="left" vertical="center"/>
    </xf>
    <xf numFmtId="0" fontId="70" fillId="24" borderId="66" xfId="41" applyFont="1" applyFill="1" applyBorder="1" applyAlignment="1">
      <alignment horizontal="left" vertical="center"/>
    </xf>
    <xf numFmtId="0" fontId="70" fillId="24" borderId="67" xfId="41" applyFont="1" applyFill="1" applyBorder="1" applyAlignment="1">
      <alignment horizontal="left" vertical="center"/>
    </xf>
    <xf numFmtId="172" fontId="71" fillId="31" borderId="55" xfId="38" applyNumberFormat="1" applyFont="1" applyFill="1" applyBorder="1" applyAlignment="1">
      <alignment horizontal="center" vertical="center"/>
    </xf>
    <xf numFmtId="172" fontId="71" fillId="31" borderId="46" xfId="38" applyNumberFormat="1" applyFont="1" applyFill="1" applyBorder="1" applyAlignment="1">
      <alignment horizontal="center" vertical="center"/>
    </xf>
    <xf numFmtId="172" fontId="71" fillId="31" borderId="56" xfId="38" applyNumberFormat="1" applyFont="1" applyFill="1" applyBorder="1" applyAlignment="1">
      <alignment horizontal="center" vertical="center"/>
    </xf>
    <xf numFmtId="14" fontId="67" fillId="24" borderId="0" xfId="0" applyNumberFormat="1" applyFont="1" applyFill="1" applyAlignment="1">
      <alignment horizontal="center" vertical="center"/>
    </xf>
    <xf numFmtId="0" fontId="66" fillId="24" borderId="0" xfId="92" applyFont="1" applyFill="1" applyBorder="1" applyAlignment="1">
      <alignment horizontal="center"/>
    </xf>
    <xf numFmtId="0" fontId="70" fillId="24" borderId="11" xfId="41" applyFont="1" applyFill="1" applyBorder="1" applyAlignment="1">
      <alignment horizontal="left" vertical="center"/>
    </xf>
    <xf numFmtId="0" fontId="70" fillId="24" borderId="59" xfId="41" applyFont="1" applyFill="1" applyBorder="1" applyAlignment="1">
      <alignment horizontal="left" vertical="center"/>
    </xf>
    <xf numFmtId="0" fontId="70" fillId="24" borderId="22" xfId="41" applyFont="1" applyFill="1" applyBorder="1" applyAlignment="1">
      <alignment horizontal="left" vertical="center"/>
    </xf>
    <xf numFmtId="0" fontId="70" fillId="24" borderId="11" xfId="41" applyFont="1" applyFill="1" applyBorder="1" applyAlignment="1">
      <alignment horizontal="center" vertical="center"/>
    </xf>
    <xf numFmtId="0" fontId="58" fillId="0" borderId="10" xfId="0" applyFont="1" applyBorder="1" applyAlignment="1">
      <alignment horizontal="left" indent="3"/>
    </xf>
    <xf numFmtId="0" fontId="58" fillId="0" borderId="0" xfId="0" applyFont="1" applyAlignment="1">
      <alignment horizontal="left" indent="3"/>
    </xf>
    <xf numFmtId="0" fontId="84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58" fillId="0" borderId="0" xfId="0" applyFont="1" applyAlignment="1">
      <alignment horizontal="center"/>
    </xf>
    <xf numFmtId="0" fontId="76" fillId="37" borderId="43" xfId="0" applyFont="1" applyFill="1" applyBorder="1" applyAlignment="1">
      <alignment horizontal="center" vertical="center"/>
    </xf>
    <xf numFmtId="0" fontId="72" fillId="37" borderId="44" xfId="0" applyFont="1" applyFill="1" applyBorder="1" applyAlignment="1">
      <alignment horizontal="center" vertical="center"/>
    </xf>
    <xf numFmtId="0" fontId="72" fillId="37" borderId="45" xfId="0" applyFont="1" applyFill="1" applyBorder="1" applyAlignment="1">
      <alignment horizontal="center" vertical="center"/>
    </xf>
    <xf numFmtId="0" fontId="72" fillId="37" borderId="10" xfId="0" applyFont="1" applyFill="1" applyBorder="1" applyAlignment="1">
      <alignment horizontal="center" vertical="center"/>
    </xf>
    <xf numFmtId="0" fontId="72" fillId="37" borderId="0" xfId="0" applyFont="1" applyFill="1" applyAlignment="1">
      <alignment horizontal="center" vertical="center"/>
    </xf>
    <xf numFmtId="0" fontId="72" fillId="37" borderId="12" xfId="0" applyFont="1" applyFill="1" applyBorder="1" applyAlignment="1">
      <alignment horizontal="center" vertical="center"/>
    </xf>
    <xf numFmtId="0" fontId="72" fillId="37" borderId="16" xfId="0" applyFont="1" applyFill="1" applyBorder="1" applyAlignment="1">
      <alignment horizontal="center" vertical="center"/>
    </xf>
    <xf numFmtId="0" fontId="72" fillId="37" borderId="15" xfId="0" applyFont="1" applyFill="1" applyBorder="1" applyAlignment="1">
      <alignment horizontal="center" vertical="center"/>
    </xf>
    <xf numFmtId="0" fontId="72" fillId="37" borderId="34" xfId="0" applyFont="1" applyFill="1" applyBorder="1" applyAlignment="1">
      <alignment horizontal="center" vertical="center"/>
    </xf>
    <xf numFmtId="0" fontId="78" fillId="0" borderId="21" xfId="0" applyFont="1" applyBorder="1" applyAlignment="1">
      <alignment horizontal="center"/>
    </xf>
    <xf numFmtId="0" fontId="80" fillId="0" borderId="21" xfId="0" applyFont="1" applyBorder="1" applyAlignment="1">
      <alignment horizontal="center"/>
    </xf>
    <xf numFmtId="0" fontId="81" fillId="0" borderId="21" xfId="0" applyFont="1" applyBorder="1" applyAlignment="1">
      <alignment horizontal="center"/>
    </xf>
    <xf numFmtId="0" fontId="82" fillId="0" borderId="21" xfId="0" applyFont="1" applyBorder="1" applyAlignment="1">
      <alignment horizontal="center"/>
    </xf>
    <xf numFmtId="0" fontId="79" fillId="0" borderId="21" xfId="0" applyFont="1" applyBorder="1" applyAlignment="1">
      <alignment horizontal="center"/>
    </xf>
    <xf numFmtId="0" fontId="83" fillId="0" borderId="21" xfId="0" applyFont="1" applyBorder="1" applyAlignment="1">
      <alignment horizontal="center"/>
    </xf>
    <xf numFmtId="43" fontId="58" fillId="0" borderId="0" xfId="63" applyFont="1" applyBorder="1" applyAlignment="1"/>
    <xf numFmtId="0" fontId="66" fillId="24" borderId="0" xfId="92" applyFont="1" applyFill="1" applyBorder="1" applyAlignment="1">
      <alignment horizontal="center" vertical="center" wrapText="1"/>
    </xf>
    <xf numFmtId="2" fontId="72" fillId="29" borderId="43" xfId="0" applyNumberFormat="1" applyFont="1" applyFill="1" applyBorder="1" applyAlignment="1">
      <alignment horizontal="center" vertical="center"/>
    </xf>
    <xf numFmtId="2" fontId="72" fillId="29" borderId="44" xfId="0" applyNumberFormat="1" applyFont="1" applyFill="1" applyBorder="1" applyAlignment="1">
      <alignment horizontal="center" vertical="center"/>
    </xf>
    <xf numFmtId="2" fontId="72" fillId="29" borderId="45" xfId="0" applyNumberFormat="1" applyFont="1" applyFill="1" applyBorder="1" applyAlignment="1">
      <alignment horizontal="center" vertical="center"/>
    </xf>
    <xf numFmtId="2" fontId="72" fillId="29" borderId="16" xfId="0" applyNumberFormat="1" applyFont="1" applyFill="1" applyBorder="1" applyAlignment="1">
      <alignment horizontal="center" vertical="center"/>
    </xf>
    <xf numFmtId="2" fontId="72" fillId="29" borderId="15" xfId="0" applyNumberFormat="1" applyFont="1" applyFill="1" applyBorder="1" applyAlignment="1">
      <alignment horizontal="center" vertical="center"/>
    </xf>
    <xf numFmtId="2" fontId="72" fillId="29" borderId="34" xfId="0" applyNumberFormat="1" applyFont="1" applyFill="1" applyBorder="1" applyAlignment="1">
      <alignment horizontal="center" vertical="center"/>
    </xf>
    <xf numFmtId="0" fontId="79" fillId="24" borderId="11" xfId="92" applyFont="1" applyFill="1" applyBorder="1" applyAlignment="1">
      <alignment horizontal="center" vertical="center"/>
    </xf>
    <xf numFmtId="0" fontId="73" fillId="31" borderId="11" xfId="77" applyFont="1" applyFill="1" applyBorder="1" applyAlignment="1">
      <alignment horizontal="center" vertical="center" wrapText="1"/>
    </xf>
    <xf numFmtId="168" fontId="67" fillId="24" borderId="0" xfId="0" applyNumberFormat="1" applyFont="1" applyFill="1" applyAlignment="1">
      <alignment horizontal="left" vertical="top" wrapText="1"/>
    </xf>
    <xf numFmtId="0" fontId="86" fillId="24" borderId="11" xfId="92" applyFont="1" applyFill="1" applyBorder="1" applyAlignment="1">
      <alignment horizontal="center" vertical="center" wrapText="1"/>
    </xf>
    <xf numFmtId="2" fontId="75" fillId="30" borderId="11" xfId="0" applyNumberFormat="1" applyFont="1" applyFill="1" applyBorder="1" applyAlignment="1">
      <alignment horizontal="center" vertical="center" wrapText="1"/>
    </xf>
    <xf numFmtId="2" fontId="74" fillId="0" borderId="43" xfId="0" applyNumberFormat="1" applyFont="1" applyBorder="1" applyAlignment="1">
      <alignment horizontal="center" vertical="center" wrapText="1"/>
    </xf>
    <xf numFmtId="2" fontId="74" fillId="0" borderId="44" xfId="0" applyNumberFormat="1" applyFont="1" applyBorder="1" applyAlignment="1">
      <alignment horizontal="center" vertical="center" wrapText="1"/>
    </xf>
    <xf numFmtId="2" fontId="74" fillId="0" borderId="45" xfId="0" applyNumberFormat="1" applyFont="1" applyBorder="1" applyAlignment="1">
      <alignment horizontal="center" vertical="center" wrapText="1"/>
    </xf>
    <xf numFmtId="2" fontId="74" fillId="0" borderId="10" xfId="0" applyNumberFormat="1" applyFont="1" applyBorder="1" applyAlignment="1">
      <alignment horizontal="center" vertical="center" wrapText="1"/>
    </xf>
    <xf numFmtId="2" fontId="74" fillId="0" borderId="0" xfId="0" applyNumberFormat="1" applyFont="1" applyAlignment="1">
      <alignment horizontal="center" vertical="center" wrapText="1"/>
    </xf>
    <xf numFmtId="2" fontId="74" fillId="0" borderId="12" xfId="0" applyNumberFormat="1" applyFont="1" applyBorder="1" applyAlignment="1">
      <alignment horizontal="center" vertical="center" wrapText="1"/>
    </xf>
    <xf numFmtId="2" fontId="58" fillId="0" borderId="10" xfId="0" applyNumberFormat="1" applyFont="1" applyBorder="1" applyAlignment="1">
      <alignment horizontal="left" vertical="top" wrapText="1"/>
    </xf>
    <xf numFmtId="2" fontId="58" fillId="0" borderId="0" xfId="0" applyNumberFormat="1" applyFont="1" applyAlignment="1">
      <alignment horizontal="left" vertical="top" wrapText="1"/>
    </xf>
    <xf numFmtId="2" fontId="58" fillId="0" borderId="12" xfId="0" applyNumberFormat="1" applyFont="1" applyBorder="1" applyAlignment="1">
      <alignment horizontal="left" vertical="top" wrapText="1"/>
    </xf>
    <xf numFmtId="2" fontId="58" fillId="0" borderId="29" xfId="0" applyNumberFormat="1" applyFont="1" applyBorder="1" applyAlignment="1">
      <alignment horizontal="left" vertical="top" wrapText="1"/>
    </xf>
    <xf numFmtId="2" fontId="58" fillId="0" borderId="21" xfId="0" applyNumberFormat="1" applyFont="1" applyBorder="1" applyAlignment="1">
      <alignment horizontal="left" vertical="top" wrapText="1"/>
    </xf>
    <xf numFmtId="2" fontId="58" fillId="0" borderId="42" xfId="0" applyNumberFormat="1" applyFont="1" applyBorder="1" applyAlignment="1">
      <alignment horizontal="left" vertical="top" wrapText="1"/>
    </xf>
    <xf numFmtId="0" fontId="63" fillId="26" borderId="28" xfId="0" applyFont="1" applyFill="1" applyBorder="1" applyAlignment="1">
      <alignment horizontal="center" vertical="center"/>
    </xf>
    <xf numFmtId="0" fontId="63" fillId="26" borderId="14" xfId="0" applyFont="1" applyFill="1" applyBorder="1" applyAlignment="1">
      <alignment horizontal="center" vertical="center"/>
    </xf>
    <xf numFmtId="0" fontId="63" fillId="26" borderId="19" xfId="0" applyFont="1" applyFill="1" applyBorder="1" applyAlignment="1">
      <alignment horizontal="center" vertical="center"/>
    </xf>
    <xf numFmtId="0" fontId="63" fillId="26" borderId="65" xfId="0" applyFont="1" applyFill="1" applyBorder="1" applyAlignment="1">
      <alignment horizontal="center" vertical="center"/>
    </xf>
    <xf numFmtId="0" fontId="89" fillId="24" borderId="18" xfId="92" applyFont="1" applyFill="1" applyBorder="1" applyAlignment="1">
      <alignment horizontal="center"/>
    </xf>
    <xf numFmtId="0" fontId="89" fillId="24" borderId="19" xfId="92" applyFont="1" applyFill="1" applyBorder="1" applyAlignment="1">
      <alignment horizontal="center"/>
    </xf>
    <xf numFmtId="0" fontId="89" fillId="24" borderId="20" xfId="92" applyFont="1" applyFill="1" applyBorder="1" applyAlignment="1">
      <alignment horizontal="center"/>
    </xf>
  </cellXfs>
  <cellStyles count="14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alculation 2" xfId="108" xr:uid="{96CCCEB1-3F92-48C1-B888-8E18DE88718D}"/>
    <cellStyle name="Check Cell" xfId="27" builtinId="23" customBuiltin="1"/>
    <cellStyle name="Comma" xfId="63" builtinId="3"/>
    <cellStyle name="Comma 2" xfId="46" xr:uid="{00000000-0005-0000-0000-00001C000000}"/>
    <cellStyle name="Comma 2 2" xfId="48" xr:uid="{00000000-0005-0000-0000-00001D000000}"/>
    <cellStyle name="Comma 3" xfId="105" xr:uid="{B77ABCAD-718E-4CFA-BDE4-30A77DC9C0AC}"/>
    <cellStyle name="Currency" xfId="61" builtinId="4"/>
    <cellStyle name="Currency 2" xfId="50" xr:uid="{00000000-0005-0000-0000-00001F000000}"/>
    <cellStyle name="Currency 3" xfId="75" xr:uid="{00000000-0005-0000-0000-000020000000}"/>
    <cellStyle name="Currency 3 2" xfId="128" xr:uid="{2E610407-C5EF-47F2-8364-5748D5A0C4C1}"/>
    <cellStyle name="Currency 4" xfId="78" xr:uid="{00000000-0005-0000-0000-000021000000}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" xfId="92" builtinId="8"/>
    <cellStyle name="Input" xfId="34" builtinId="20" customBuiltin="1"/>
    <cellStyle name="Input 2" xfId="84" xr:uid="{00000000-0005-0000-0000-00002A000000}"/>
    <cellStyle name="Input 2 2" xfId="100" xr:uid="{1873FA0A-06FE-4EC8-B083-D35681585B63}"/>
    <cellStyle name="Input 3" xfId="91" xr:uid="{00000000-0005-0000-0000-00002B000000}"/>
    <cellStyle name="Linked Cell" xfId="35" builtinId="24" customBuiltin="1"/>
    <cellStyle name="Neutral" xfId="36" builtinId="28" customBuiltin="1"/>
    <cellStyle name="Normal" xfId="0" builtinId="0"/>
    <cellStyle name="Normal 10" xfId="69" xr:uid="{00000000-0005-0000-0000-00002F000000}"/>
    <cellStyle name="Normal 10 2" xfId="123" xr:uid="{EBB06BC5-FB0A-4A27-99E5-E84C2EFEE477}"/>
    <cellStyle name="Normal 11" xfId="97" xr:uid="{00000000-0005-0000-0000-000030000000}"/>
    <cellStyle name="Normal 11 2" xfId="137" xr:uid="{C56B8D66-A6A9-4E73-B446-36566365D898}"/>
    <cellStyle name="Normal 12" xfId="96" xr:uid="{00000000-0005-0000-0000-000031000000}"/>
    <cellStyle name="Normal 12 2" xfId="136" xr:uid="{7AFF7B2D-9ACB-45B5-BC50-9EF88BF88C5F}"/>
    <cellStyle name="Normal 13" xfId="99" xr:uid="{00000000-0005-0000-0000-000032000000}"/>
    <cellStyle name="Normal 13 2" xfId="138" xr:uid="{04919603-0833-4D56-B115-0340F224C77B}"/>
    <cellStyle name="Normal 14" xfId="104" xr:uid="{BBF56C1E-7855-4513-B4AF-8BAEFC16D4CF}"/>
    <cellStyle name="Normal 14 2" xfId="139" xr:uid="{8583EE8E-3FA9-4A65-9789-D1CBF502C864}"/>
    <cellStyle name="Normal 15" xfId="106" xr:uid="{FED76DF0-178C-42FF-9B52-5B3FF5971E77}"/>
    <cellStyle name="Normal 16" xfId="107" xr:uid="{C6795037-E00A-4BCD-B2A0-CBD24F29026A}"/>
    <cellStyle name="Normal 17" xfId="140" xr:uid="{1DF46845-2E13-429E-A44D-0C0EBA924F83}"/>
    <cellStyle name="Normal 18" xfId="142" xr:uid="{7EB0EB14-3220-4B0D-8279-2D73EBC46454}"/>
    <cellStyle name="Normal 19" xfId="143" xr:uid="{9F461CAB-C6B4-4BC5-B557-8880DA86A4AF}"/>
    <cellStyle name="Normal 2" xfId="44" xr:uid="{00000000-0005-0000-0000-000033000000}"/>
    <cellStyle name="Normal 2 2" xfId="47" xr:uid="{00000000-0005-0000-0000-000034000000}"/>
    <cellStyle name="Normal 2 3" xfId="45" xr:uid="{00000000-0005-0000-0000-000035000000}"/>
    <cellStyle name="Normal 2 3 2" xfId="52" xr:uid="{00000000-0005-0000-0000-000036000000}"/>
    <cellStyle name="Normal 3" xfId="37" xr:uid="{00000000-0005-0000-0000-000037000000}"/>
    <cellStyle name="Normal 4" xfId="43" xr:uid="{00000000-0005-0000-0000-000038000000}"/>
    <cellStyle name="Normal 4 2" xfId="53" xr:uid="{00000000-0005-0000-0000-000039000000}"/>
    <cellStyle name="Normal 4 2 2" xfId="58" xr:uid="{00000000-0005-0000-0000-00003A000000}"/>
    <cellStyle name="Normal 4 2 2 2" xfId="116" xr:uid="{29686194-DE94-4B1B-B84D-A1D86F1F0E5B}"/>
    <cellStyle name="Normal 4 2 3" xfId="111" xr:uid="{6B0F5C59-1DD4-4157-94BD-17791804B113}"/>
    <cellStyle name="Normal 4 3" xfId="51" xr:uid="{00000000-0005-0000-0000-00003B000000}"/>
    <cellStyle name="Normal 4 3 2" xfId="57" xr:uid="{00000000-0005-0000-0000-00003C000000}"/>
    <cellStyle name="Normal 4 3 2 2" xfId="115" xr:uid="{725E4FCB-4BAB-426E-9D74-3B6776FA661B}"/>
    <cellStyle name="Normal 4 3 3" xfId="110" xr:uid="{F1D4C9BB-1A91-4A07-B09A-CE855F0941DA}"/>
    <cellStyle name="Normal 4 4" xfId="56" xr:uid="{00000000-0005-0000-0000-00003D000000}"/>
    <cellStyle name="Normal 4 4 2" xfId="114" xr:uid="{3A638CAB-7D96-4D37-A375-DC8603E69A75}"/>
    <cellStyle name="Normal 4 5" xfId="109" xr:uid="{A2798E31-63B5-4374-862C-8582566E2A85}"/>
    <cellStyle name="Normal 5" xfId="49" xr:uid="{00000000-0005-0000-0000-00003E000000}"/>
    <cellStyle name="Normal 6" xfId="55" xr:uid="{00000000-0005-0000-0000-00003F000000}"/>
    <cellStyle name="Normal 6 2" xfId="113" xr:uid="{5C0F9809-6352-4493-9601-B119495EA14A}"/>
    <cellStyle name="Normal 7" xfId="54" xr:uid="{00000000-0005-0000-0000-000040000000}"/>
    <cellStyle name="Normal 7 2" xfId="59" xr:uid="{00000000-0005-0000-0000-000041000000}"/>
    <cellStyle name="Normal 7 2 2" xfId="117" xr:uid="{62A1D5E2-E8F3-4F93-9725-05EEB63B369A}"/>
    <cellStyle name="Normal 7 3" xfId="112" xr:uid="{E866BB9A-8C55-4F80-BEB3-074EE063EF0D}"/>
    <cellStyle name="Normal 8" xfId="60" xr:uid="{00000000-0005-0000-0000-000042000000}"/>
    <cellStyle name="Normal 8 2" xfId="118" xr:uid="{0B0455BC-F411-4742-A967-E3E6DB4CE3BF}"/>
    <cellStyle name="Normal 9" xfId="65" xr:uid="{00000000-0005-0000-0000-000043000000}"/>
    <cellStyle name="Normal 9 2" xfId="119" xr:uid="{ED05115D-F5D0-445C-B068-D7EE4CB7FF8D}"/>
    <cellStyle name="Note" xfId="38" builtinId="10" customBuiltin="1"/>
    <cellStyle name="Note 10 2" xfId="71" xr:uid="{00000000-0005-0000-0000-000045000000}"/>
    <cellStyle name="Note 10 2 10 2 2 4 2 2 2 2 2 2 2 2 2 2" xfId="93" xr:uid="{00000000-0005-0000-0000-000046000000}"/>
    <cellStyle name="Note 10 2 10 2 2 4 2 2 2 2 2 2 2 2 2 2 2" xfId="103" xr:uid="{3E768BBF-5255-4F9C-BCA9-FD0CB21069EE}"/>
    <cellStyle name="Note 10 2 10 2 2 4 2 2 2 2 2 2 2 2 2 2 2 2 2 2 2 3 2" xfId="95" xr:uid="{00000000-0005-0000-0000-000047000000}"/>
    <cellStyle name="Note 10 2 10 2 2 4 2 2 2 2 2 2 2 2 2 2 3" xfId="98" xr:uid="{00000000-0005-0000-0000-000048000000}"/>
    <cellStyle name="Note 10 2 11 3 3" xfId="90" xr:uid="{00000000-0005-0000-0000-000049000000}"/>
    <cellStyle name="Note 10 2 11 3 3 2" xfId="135" xr:uid="{48CEBF0E-AC7C-4048-ABA7-9B0FF05003E2}"/>
    <cellStyle name="Note 10 2 2" xfId="82" xr:uid="{00000000-0005-0000-0000-00004A000000}"/>
    <cellStyle name="Note 10 2 2 2" xfId="131" xr:uid="{DF7A7750-78DA-4EAF-810F-365D3E8AED2D}"/>
    <cellStyle name="Note 17 2" xfId="72" xr:uid="{00000000-0005-0000-0000-00004B000000}"/>
    <cellStyle name="Note 17 2 2" xfId="125" xr:uid="{E88B9F14-34BF-47D4-B170-1EDC49687CF3}"/>
    <cellStyle name="Note 2" xfId="64" xr:uid="{00000000-0005-0000-0000-00004C000000}"/>
    <cellStyle name="Note 2 134" xfId="94" xr:uid="{00000000-0005-0000-0000-00004D000000}"/>
    <cellStyle name="Note 2 134 2" xfId="102" xr:uid="{BE52BE97-431A-4FC5-8FE3-D32E6DD06851}"/>
    <cellStyle name="Note 2 134 2 2" xfId="144" xr:uid="{D511EA33-853D-457D-A4F2-7E6A63E7A706}"/>
    <cellStyle name="Note 2 2" xfId="81" xr:uid="{00000000-0005-0000-0000-00004E000000}"/>
    <cellStyle name="Note 2 2 2" xfId="130" xr:uid="{8FDFD5BD-7AD0-44FF-840E-2CF315FF2639}"/>
    <cellStyle name="Note 2 24" xfId="70" xr:uid="{00000000-0005-0000-0000-00004F000000}"/>
    <cellStyle name="Note 2 24 2" xfId="124" xr:uid="{880377C9-3FCA-4832-9261-9C87DCD544D2}"/>
    <cellStyle name="Note 2 3" xfId="88" xr:uid="{00000000-0005-0000-0000-000050000000}"/>
    <cellStyle name="Note 2 3 2" xfId="134" xr:uid="{9F39F40C-DED0-457E-BA76-1071A83D7AB5}"/>
    <cellStyle name="Note 2 6 2 2" xfId="74" xr:uid="{00000000-0005-0000-0000-000051000000}"/>
    <cellStyle name="Note 2 6 2 2 2" xfId="127" xr:uid="{C8E4B7F7-C739-401E-AC57-E55369B5D4F8}"/>
    <cellStyle name="Note 24" xfId="68" xr:uid="{00000000-0005-0000-0000-000052000000}"/>
    <cellStyle name="Note 24 2" xfId="122" xr:uid="{E8AFE1F7-7525-4CD8-9EE9-0AEE512489AD}"/>
    <cellStyle name="Note 25" xfId="67" xr:uid="{00000000-0005-0000-0000-000053000000}"/>
    <cellStyle name="Note 25 2" xfId="121" xr:uid="{62FE235B-9EE0-42A0-ABE1-72708904BA12}"/>
    <cellStyle name="Note 28 2" xfId="66" xr:uid="{00000000-0005-0000-0000-000054000000}"/>
    <cellStyle name="Note 28 2 2" xfId="120" xr:uid="{AC077469-4C4A-4B52-B12D-B82FCBF29A23}"/>
    <cellStyle name="Note 3" xfId="80" xr:uid="{00000000-0005-0000-0000-000055000000}"/>
    <cellStyle name="Note 3 2" xfId="129" xr:uid="{2A2D2BC5-F712-44CB-ACC4-04A0A359EF19}"/>
    <cellStyle name="Note 33" xfId="73" xr:uid="{00000000-0005-0000-0000-000056000000}"/>
    <cellStyle name="Note 33 2" xfId="126" xr:uid="{407770AD-3CAE-4A83-8968-3B9694B485DA}"/>
    <cellStyle name="Note 4" xfId="87" xr:uid="{00000000-0005-0000-0000-000057000000}"/>
    <cellStyle name="Note 4 2" xfId="133" xr:uid="{539C426C-B240-4B39-B111-E07433D60F83}"/>
    <cellStyle name="Note 5" xfId="141" xr:uid="{6A1C7F01-4446-44CE-9686-62C103E084FF}"/>
    <cellStyle name="Output" xfId="39" builtinId="21" customBuiltin="1"/>
    <cellStyle name="Output 2" xfId="77" xr:uid="{00000000-0005-0000-0000-000059000000}"/>
    <cellStyle name="Output 2 2" xfId="85" xr:uid="{00000000-0005-0000-0000-00005A000000}"/>
    <cellStyle name="Output 2 2 2" xfId="89" xr:uid="{00000000-0005-0000-0000-00005B000000}"/>
    <cellStyle name="Output 3" xfId="83" xr:uid="{00000000-0005-0000-0000-00005C000000}"/>
    <cellStyle name="Output 3 2" xfId="132" xr:uid="{31BB53E1-F4C0-4F02-B67C-857D74A27C67}"/>
    <cellStyle name="Percent" xfId="62" builtinId="5"/>
    <cellStyle name="Percent 2" xfId="76" xr:uid="{00000000-0005-0000-0000-00005E000000}"/>
    <cellStyle name="Percent 2 2" xfId="101" xr:uid="{6417956D-E4C6-4D34-9B60-C6DC1D8AE86D}"/>
    <cellStyle name="Percent 3" xfId="79" xr:uid="{00000000-0005-0000-0000-00005F000000}"/>
    <cellStyle name="Title" xfId="40" builtinId="15" customBuiltin="1"/>
    <cellStyle name="Total" xfId="41" builtinId="25" customBuiltin="1"/>
    <cellStyle name="Total 2" xfId="86" xr:uid="{00000000-0005-0000-0000-000062000000}"/>
    <cellStyle name="Warning Text" xfId="42" builtinId="11" customBuiltin="1"/>
  </cellStyles>
  <dxfs count="10">
    <dxf>
      <font>
        <color rgb="FFFF0000"/>
      </font>
      <fill>
        <patternFill>
          <bgColor rgb="FFFFFF00"/>
        </patternFill>
      </fill>
    </dxf>
    <dxf>
      <numFmt numFmtId="14" formatCode="0.00%"/>
    </dxf>
    <dxf>
      <numFmt numFmtId="33" formatCode="_(* #,##0_);_(* \(#,##0\);_(* &quot;-&quot;_);_(@_)"/>
    </dxf>
    <dxf>
      <numFmt numFmtId="14" formatCode="0.00%"/>
    </dxf>
    <dxf>
      <numFmt numFmtId="33" formatCode="_(* #,##0_);_(* \(#,##0\);_(* &quot;-&quot;_);_(@_)"/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b/>
        <i val="0"/>
        <sz val="12"/>
        <color theme="1"/>
        <name val="Times New Roman"/>
        <scheme val="major"/>
      </font>
      <border diagonalUp="0" diagonalDown="0">
        <left/>
        <right/>
        <top/>
        <bottom/>
        <vertical/>
        <horizontal/>
      </border>
    </dxf>
  </dxfs>
  <tableStyles count="3" defaultTableStyle="TableStyleMedium2" defaultPivotStyle="PivotStyleLight16">
    <tableStyle name="My Style" pivot="0" table="0" count="10" xr9:uid="{00000000-0011-0000-FFFF-FFFF00000000}">
      <tableStyleElement type="wholeTable" dxfId="9"/>
      <tableStyleElement type="headerRow" dxfId="8"/>
    </tableStyle>
    <tableStyle name="Slicer Style 1" pivot="0" table="0" count="1" xr9:uid="{00000000-0011-0000-FFFF-FFFF01000000}">
      <tableStyleElement type="wholeTable" dxfId="7"/>
    </tableStyle>
    <tableStyle name="SlicerStyleDark1 2" pivot="0" table="0" count="10" xr9:uid="{00000000-0011-0000-FFFF-FFFF02000000}">
      <tableStyleElement type="wholeTable" dxfId="6"/>
      <tableStyleElement type="headerRow" dxfId="5"/>
    </tableStyle>
  </tableStyles>
  <colors>
    <mruColors>
      <color rgb="FF996600"/>
      <color rgb="FFCC6600"/>
      <color rgb="FFD2CBB6"/>
      <color rgb="FFDDEBF7"/>
      <color rgb="FFC86866"/>
      <color rgb="FFEC6B0A"/>
      <color rgb="FFFFF2CC"/>
      <color rgb="FFACB9CA"/>
      <color rgb="FFE2EFDA"/>
      <color rgb="FFF2F2F2"/>
    </mruColors>
  </colors>
  <extLst>
    <ext xmlns:x14="http://schemas.microsoft.com/office/spreadsheetml/2009/9/main" uri="{46F421CA-312F-682f-3DD2-61675219B42D}">
      <x14:dxfs count="16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My Style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Slicer Style 1"/>
        <x14:slicerStyle name="SlicerStyleDark1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Percentages</a:t>
            </a:r>
          </a:p>
        </c:rich>
      </c:tx>
      <c:layout>
        <c:manualLayout>
          <c:xMode val="edge"/>
          <c:yMode val="edge"/>
          <c:x val="6.5359477124185479E-5"/>
          <c:y val="1.3037983650163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'Data for Dashboard'!$F$6</c:f>
              <c:strCache>
                <c:ptCount val="1"/>
                <c:pt idx="0">
                  <c:v>Percentage</c:v>
                </c:pt>
              </c:strCache>
            </c:strRef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'Data for Dashboard'!$E$7:$E$11</c:f>
              <c:strCache>
                <c:ptCount val="5"/>
                <c:pt idx="0">
                  <c:v>Material Tax</c:v>
                </c:pt>
                <c:pt idx="1">
                  <c:v>Overhead &amp; Profit (Material)</c:v>
                </c:pt>
                <c:pt idx="2">
                  <c:v>Overhead &amp; Profit (Labor)</c:v>
                </c:pt>
                <c:pt idx="3">
                  <c:v>Bond Fee</c:v>
                </c:pt>
                <c:pt idx="4">
                  <c:v>OH &amp; P on subnotes</c:v>
                </c:pt>
              </c:strCache>
            </c:strRef>
          </c:cat>
          <c:val>
            <c:numRef>
              <c:f>'Data for Dashboard'!$F$7:$F$11</c:f>
              <c:numCache>
                <c:formatCode>0.0%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 formatCode="0%">
                  <c:v>0.05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20-40A2-A2E3-3C03D796B42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883904048"/>
        <c:axId val="1883904528"/>
      </c:lineChart>
      <c:catAx>
        <c:axId val="1883904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3904528"/>
        <c:crosses val="autoZero"/>
        <c:auto val="1"/>
        <c:lblAlgn val="ctr"/>
        <c:lblOffset val="100"/>
        <c:noMultiLvlLbl val="0"/>
      </c:catAx>
      <c:valAx>
        <c:axId val="188390452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3904048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7404632086493623E-2"/>
          <c:y val="0.12097897842288517"/>
          <c:w val="0.79383657791407203"/>
          <c:h val="0.81698759556804557"/>
        </c:manualLayout>
      </c:layout>
      <c:doughnutChart>
        <c:varyColors val="1"/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F63-4D56-83CB-08E381A43E1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37E-48BA-8C93-16BD3B98DB9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F37E-48BA-8C93-16BD3B98DB9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F37E-48BA-8C93-16BD3B98DB9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F37E-48BA-8C93-16BD3B98DB9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F37E-48BA-8C93-16BD3B98DB9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37E-48BA-8C93-16BD3B98DB9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'Data for Dashboard'!$B$4:$B$10</c:f>
              <c:strCache>
                <c:ptCount val="7"/>
                <c:pt idx="0">
                  <c:v>Type</c:v>
                </c:pt>
                <c:pt idx="1">
                  <c:v>Material</c:v>
                </c:pt>
                <c:pt idx="2">
                  <c:v>Labor</c:v>
                </c:pt>
                <c:pt idx="3">
                  <c:v>Material Tax</c:v>
                </c:pt>
                <c:pt idx="4">
                  <c:v>Overhead &amp; Profit (Material)</c:v>
                </c:pt>
                <c:pt idx="5">
                  <c:v>Overhead &amp; Profit (Labor)</c:v>
                </c:pt>
                <c:pt idx="6">
                  <c:v>Bond Fee</c:v>
                </c:pt>
              </c:strCache>
            </c:strRef>
          </c:cat>
          <c:val>
            <c:numRef>
              <c:f>'Data for Dashboard'!$D$4:$D$10</c:f>
              <c:numCache>
                <c:formatCode>0%</c:formatCode>
                <c:ptCount val="7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37E-48BA-8C93-16BD3B98DB9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75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F63-4D56-83CB-08E381A43E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1F63-4D56-83CB-08E381A43E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1F63-4D56-83CB-08E381A43E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1F63-4D56-83CB-08E381A43E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1F63-4D56-83CB-08E381A43E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1F63-4D56-83CB-08E381A43E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1F63-4D56-83CB-08E381A43E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'Data for Dashboard'!$B$4:$B$10</c15:sqref>
                        </c15:formulaRef>
                      </c:ext>
                    </c:extLst>
                    <c:strCache>
                      <c:ptCount val="7"/>
                      <c:pt idx="0">
                        <c:v>Type</c:v>
                      </c:pt>
                      <c:pt idx="1">
                        <c:v>Material</c:v>
                      </c:pt>
                      <c:pt idx="2">
                        <c:v>Labor</c:v>
                      </c:pt>
                      <c:pt idx="3">
                        <c:v>Material Tax</c:v>
                      </c:pt>
                      <c:pt idx="4">
                        <c:v>Overhead &amp; Profit (Material)</c:v>
                      </c:pt>
                      <c:pt idx="5">
                        <c:v>Overhead &amp; Profit (Labor)</c:v>
                      </c:pt>
                      <c:pt idx="6">
                        <c:v>Bond Fee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'Data for Dashboard'!$C$4:$C$10</c15:sqref>
                        </c15:formulaRef>
                      </c:ext>
                    </c:extLst>
                    <c:numCache>
                      <c:formatCode>_("$"* #,##0.00_);_("$"* \(#,##0.00\);_("$"* "-"??_);_(@_)</c:formatCode>
                      <c:ptCount val="7"/>
                      <c:pt idx="0" formatCode="General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37E-48BA-8C93-16BD3B98DB9F}"/>
                  </c:ext>
                </c:extLst>
              </c15:ser>
            </c15:filteredPieSeries>
          </c:ext>
        </c:extLst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Cost Summary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gradFill>
              <a:gsLst>
                <a:gs pos="100000">
                  <a:schemeClr val="accent1">
                    <a:alpha val="0"/>
                  </a:schemeClr>
                </a:gs>
                <a:gs pos="50000">
                  <a:schemeClr val="accent1"/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'COST SUMMARY'!#REF!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'COST SUMMARY'!#REF!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4066-4847-B102-4D9DD2D8C6A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61295776"/>
        <c:axId val="161302016"/>
        <c:axId val="0"/>
      </c:bar3DChart>
      <c:catAx>
        <c:axId val="161295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302016"/>
        <c:crosses val="autoZero"/>
        <c:auto val="1"/>
        <c:lblAlgn val="ctr"/>
        <c:lblOffset val="100"/>
        <c:noMultiLvlLbl val="0"/>
      </c:catAx>
      <c:valAx>
        <c:axId val="161302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295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401083</xdr:colOff>
      <xdr:row>5</xdr:row>
      <xdr:rowOff>2422</xdr:rowOff>
    </xdr:from>
    <xdr:to>
      <xdr:col>3</xdr:col>
      <xdr:colOff>289897</xdr:colOff>
      <xdr:row>9</xdr:row>
      <xdr:rowOff>167775</xdr:rowOff>
    </xdr:to>
    <xdr:sp macro="" textlink="'COST SUMMARY'!D5">
      <xdr:nvSpPr>
        <xdr:cNvPr id="12" name="Rectangle: Rounded Corner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401083" y="1051293"/>
          <a:ext cx="2094132" cy="1034929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tIns="45720" rtlCol="1" anchor="ctr" anchorCtr="0"/>
        <a:lstStyle/>
        <a:p>
          <a:pPr algn="ctr"/>
          <a:fld id="{1902EB2D-1498-4DCC-B054-4F51250BA9B8}" type="TxLink">
            <a:rPr lang="en-US" sz="1400" b="1" i="0" u="none" strike="noStrike">
              <a:solidFill>
                <a:schemeClr val="tx1"/>
              </a:solidFill>
              <a:latin typeface="+mn-lt"/>
              <a:cs typeface="Segoe UI" panose="020B0502040204020203" pitchFamily="34" charset="0"/>
            </a:rPr>
            <a:pPr algn="ctr"/>
            <a:t>Intrust Bank-Topeka Branch</a:t>
          </a:fld>
          <a:endParaRPr lang="ur-PK" sz="1050" b="1">
            <a:solidFill>
              <a:schemeClr val="tx1"/>
            </a:solidFill>
            <a:latin typeface="+mn-lt"/>
            <a:cs typeface="Segoe UI" panose="020B0502040204020203" pitchFamily="34" charset="0"/>
          </a:endParaRPr>
        </a:p>
      </xdr:txBody>
    </xdr:sp>
    <xdr:clientData/>
  </xdr:twoCellAnchor>
  <xdr:twoCellAnchor>
    <xdr:from>
      <xdr:col>0</xdr:col>
      <xdr:colOff>7620</xdr:colOff>
      <xdr:row>10</xdr:row>
      <xdr:rowOff>121920</xdr:rowOff>
    </xdr:from>
    <xdr:to>
      <xdr:col>18</xdr:col>
      <xdr:colOff>685800</xdr:colOff>
      <xdr:row>10</xdr:row>
      <xdr:rowOff>121920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7620" y="2232660"/>
          <a:ext cx="13845540" cy="0"/>
        </a:xfrm>
        <a:prstGeom prst="line">
          <a:avLst/>
        </a:prstGeom>
        <a:ln>
          <a:solidFill>
            <a:schemeClr val="bg1">
              <a:lumMod val="50000"/>
            </a:schemeClr>
          </a:solidFill>
        </a:ln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</xdr:row>
      <xdr:rowOff>99060</xdr:rowOff>
    </xdr:from>
    <xdr:to>
      <xdr:col>18</xdr:col>
      <xdr:colOff>685800</xdr:colOff>
      <xdr:row>4</xdr:row>
      <xdr:rowOff>99060</xdr:rowOff>
    </xdr:to>
    <xdr:cxnSp macro="">
      <xdr:nvCxnSpPr>
        <xdr:cNvPr id="26" name="Straight Connector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>
        <a:xfrm>
          <a:off x="7620" y="943610"/>
          <a:ext cx="13682980" cy="0"/>
        </a:xfrm>
        <a:prstGeom prst="line">
          <a:avLst/>
        </a:prstGeom>
        <a:ln>
          <a:solidFill>
            <a:schemeClr val="bg1">
              <a:lumMod val="50000"/>
            </a:schemeClr>
          </a:solidFill>
        </a:ln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383268</xdr:colOff>
      <xdr:row>22</xdr:row>
      <xdr:rowOff>190500</xdr:rowOff>
    </xdr:from>
    <xdr:to>
      <xdr:col>7</xdr:col>
      <xdr:colOff>371930</xdr:colOff>
      <xdr:row>37</xdr:row>
      <xdr:rowOff>4884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3</xdr:col>
      <xdr:colOff>439270</xdr:colOff>
      <xdr:row>4</xdr:row>
      <xdr:rowOff>181717</xdr:rowOff>
    </xdr:from>
    <xdr:to>
      <xdr:col>6</xdr:col>
      <xdr:colOff>345230</xdr:colOff>
      <xdr:row>9</xdr:row>
      <xdr:rowOff>149846</xdr:rowOff>
    </xdr:to>
    <xdr:sp macro="" textlink="'COST SUMMARY'!D4">
      <xdr:nvSpPr>
        <xdr:cNvPr id="20" name="Rectangle: Rounded Corners 1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2644588" y="1033364"/>
          <a:ext cx="2111277" cy="1034929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tIns="45720" rtlCol="1" anchor="ctr" anchorCtr="0"/>
        <a:lstStyle/>
        <a:p>
          <a:pPr algn="ctr"/>
          <a:fld id="{20DEE40F-1C4B-48F8-9CE2-D2E98DABD0E4}" type="TxLink">
            <a:rPr lang="en-US" sz="1600" b="1" i="0" u="none" strike="noStrike">
              <a:solidFill>
                <a:sysClr val="windowText" lastClr="000000"/>
              </a:solidFill>
              <a:latin typeface="+mn-lt"/>
              <a:ea typeface="Cambria"/>
              <a:cs typeface="Segoe UI" panose="020B0502040204020203" pitchFamily="34" charset="0"/>
            </a:rPr>
            <a:pPr algn="ctr"/>
            <a:t>2/12/2026</a:t>
          </a:fld>
          <a:endParaRPr lang="ur-PK" sz="1100" b="1">
            <a:solidFill>
              <a:sysClr val="windowText" lastClr="000000"/>
            </a:solidFill>
            <a:latin typeface="+mn-lt"/>
            <a:cs typeface="Segoe UI" panose="020B0502040204020203" pitchFamily="34" charset="0"/>
          </a:endParaRPr>
        </a:p>
      </xdr:txBody>
    </xdr:sp>
    <xdr:clientData/>
  </xdr:twoCellAnchor>
  <xdr:oneCellAnchor>
    <xdr:from>
      <xdr:col>1</xdr:col>
      <xdr:colOff>453571</xdr:colOff>
      <xdr:row>8</xdr:row>
      <xdr:rowOff>27214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70214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>
            <a:latin typeface="+mn-lt"/>
          </a:endParaRPr>
        </a:p>
      </xdr:txBody>
    </xdr:sp>
    <xdr:clientData/>
  </xdr:oneCellAnchor>
  <xdr:twoCellAnchor editAs="absolute">
    <xdr:from>
      <xdr:col>6</xdr:col>
      <xdr:colOff>477883</xdr:colOff>
      <xdr:row>5</xdr:row>
      <xdr:rowOff>2</xdr:rowOff>
    </xdr:from>
    <xdr:to>
      <xdr:col>9</xdr:col>
      <xdr:colOff>360982</xdr:colOff>
      <xdr:row>9</xdr:row>
      <xdr:rowOff>167777</xdr:rowOff>
    </xdr:to>
    <xdr:sp macro="" textlink="'COST SUMMARY'!L6">
      <xdr:nvSpPr>
        <xdr:cNvPr id="23" name="Rectangle: Rounded Corners 1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4762500" y="1043216"/>
          <a:ext cx="2048268" cy="1009967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tIns="45720" rtlCol="1" anchor="ctr" anchorCtr="0"/>
        <a:lstStyle/>
        <a:p>
          <a:pPr algn="ctr"/>
          <a:fld id="{283A79BE-2A4A-4D76-8606-07A6EEE87078}" type="TxLink">
            <a:rPr lang="en-US" sz="1600" b="1" i="0" u="none" strike="noStrike">
              <a:solidFill>
                <a:sysClr val="windowText" lastClr="000000"/>
              </a:solidFill>
              <a:latin typeface="+mn-lt"/>
              <a:ea typeface="Cambria"/>
              <a:cs typeface="Segoe UI" panose="020B0502040204020203" pitchFamily="34" charset="0"/>
            </a:rPr>
            <a:pPr algn="ctr"/>
            <a:t> $210,273 </a:t>
          </a:fld>
          <a:endParaRPr lang="ur-PK" sz="1100" b="1">
            <a:solidFill>
              <a:sysClr val="windowText" lastClr="000000"/>
            </a:solidFill>
            <a:latin typeface="+mn-lt"/>
            <a:cs typeface="Segoe UI" panose="020B0502040204020203" pitchFamily="34" charset="0"/>
          </a:endParaRPr>
        </a:p>
      </xdr:txBody>
    </xdr:sp>
    <xdr:clientData/>
  </xdr:twoCellAnchor>
  <xdr:twoCellAnchor editAs="absolute">
    <xdr:from>
      <xdr:col>9</xdr:col>
      <xdr:colOff>474617</xdr:colOff>
      <xdr:row>5</xdr:row>
      <xdr:rowOff>20502</xdr:rowOff>
    </xdr:from>
    <xdr:to>
      <xdr:col>12</xdr:col>
      <xdr:colOff>397722</xdr:colOff>
      <xdr:row>9</xdr:row>
      <xdr:rowOff>174942</xdr:rowOff>
    </xdr:to>
    <xdr:sp macro="" textlink="'COST SUMMARY'!L4">
      <xdr:nvSpPr>
        <xdr:cNvPr id="32" name="Rectangle: Rounded Corners 1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939643" y="1052286"/>
          <a:ext cx="2048268" cy="1009967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tIns="45720" rtlCol="1" anchor="ctr" anchorCtr="0"/>
        <a:lstStyle/>
        <a:p>
          <a:pPr algn="ctr"/>
          <a:fld id="{25C55B40-6FC2-4CEC-A10E-300B3D7CAB5B}" type="TxLink">
            <a:rPr lang="en-US" sz="1200" b="1" i="0" u="none" strike="noStrike">
              <a:solidFill>
                <a:sysClr val="windowText" lastClr="000000"/>
              </a:solidFill>
              <a:latin typeface="+mn-lt"/>
              <a:ea typeface="Cambria"/>
              <a:cs typeface="Segoe UI" panose="020B0502040204020203" pitchFamily="34" charset="0"/>
            </a:rPr>
            <a:pPr algn="ctr"/>
            <a:t>Private (Non-Prevailing wage)</a:t>
          </a:fld>
          <a:endParaRPr lang="ur-PK" sz="1000" b="1">
            <a:solidFill>
              <a:sysClr val="windowText" lastClr="000000"/>
            </a:solidFill>
            <a:latin typeface="+mn-lt"/>
            <a:cs typeface="Segoe UI" panose="020B0502040204020203" pitchFamily="34" charset="0"/>
          </a:endParaRPr>
        </a:p>
      </xdr:txBody>
    </xdr:sp>
    <xdr:clientData/>
  </xdr:twoCellAnchor>
  <xdr:twoCellAnchor editAs="absolute">
    <xdr:from>
      <xdr:col>12</xdr:col>
      <xdr:colOff>515620</xdr:colOff>
      <xdr:row>5</xdr:row>
      <xdr:rowOff>20502</xdr:rowOff>
    </xdr:from>
    <xdr:to>
      <xdr:col>15</xdr:col>
      <xdr:colOff>398719</xdr:colOff>
      <xdr:row>9</xdr:row>
      <xdr:rowOff>174942</xdr:rowOff>
    </xdr:to>
    <xdr:sp macro="" textlink="'COST SUMMARY'!D6">
      <xdr:nvSpPr>
        <xdr:cNvPr id="33" name="Rectangle: Rounded Corners 1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9107714" y="1052286"/>
          <a:ext cx="2048268" cy="1009967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tIns="45720" rtlCol="1" anchor="ctr" anchorCtr="0"/>
        <a:lstStyle/>
        <a:p>
          <a:pPr algn="ctr"/>
          <a:fld id="{D0C76CD0-574D-4B99-BABE-CA94C7F33062}" type="TxLink">
            <a:rPr lang="en-US" sz="1200" b="1" i="0" u="none" strike="noStrike">
              <a:solidFill>
                <a:sysClr val="windowText" lastClr="000000"/>
              </a:solidFill>
              <a:latin typeface="+mn-lt"/>
              <a:ea typeface="Cambria"/>
              <a:cs typeface="Segoe UI" panose="020B0502040204020203" pitchFamily="34" charset="0"/>
            </a:rPr>
            <a:pPr algn="ctr"/>
            <a:t>1035 SW Topeka Blvd, Topeka, KS 66612</a:t>
          </a:fld>
          <a:endParaRPr lang="ur-PK" sz="1000" b="1">
            <a:solidFill>
              <a:sysClr val="windowText" lastClr="000000"/>
            </a:solidFill>
            <a:latin typeface="+mn-lt"/>
            <a:cs typeface="Segoe UI" panose="020B0502040204020203" pitchFamily="34" charset="0"/>
          </a:endParaRPr>
        </a:p>
      </xdr:txBody>
    </xdr:sp>
    <xdr:clientData/>
  </xdr:twoCellAnchor>
  <xdr:twoCellAnchor editAs="absolute">
    <xdr:from>
      <xdr:col>15</xdr:col>
      <xdr:colOff>535213</xdr:colOff>
      <xdr:row>5</xdr:row>
      <xdr:rowOff>20502</xdr:rowOff>
    </xdr:from>
    <xdr:to>
      <xdr:col>18</xdr:col>
      <xdr:colOff>342838</xdr:colOff>
      <xdr:row>9</xdr:row>
      <xdr:rowOff>174942</xdr:rowOff>
    </xdr:to>
    <xdr:sp macro="" textlink="'COST SUMMARY'!L5">
      <xdr:nvSpPr>
        <xdr:cNvPr id="34" name="Rectangle: Rounded Corners 1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1284856" y="1052286"/>
          <a:ext cx="2048268" cy="1009967"/>
        </a:xfrm>
        <a:prstGeom prst="rect">
          <a:avLst/>
        </a:prstGeom>
        <a:solidFill>
          <a:schemeClr val="accent3">
            <a:lumMod val="7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tIns="45720" rtlCol="1" anchor="ctr" anchorCtr="0"/>
        <a:lstStyle/>
        <a:p>
          <a:pPr algn="ctr"/>
          <a:fld id="{735D94A9-28B8-4AFD-8E4F-1980FA0F140C}" type="TxLink">
            <a:rPr lang="en-US" sz="1600" b="1" i="0" u="none" strike="noStrike">
              <a:solidFill>
                <a:sysClr val="windowText" lastClr="000000"/>
              </a:solidFill>
              <a:latin typeface="+mn-lt"/>
              <a:ea typeface="Cambria"/>
              <a:cs typeface="Segoe UI" panose="020B0502040204020203" pitchFamily="34" charset="0"/>
            </a:rPr>
            <a:pPr algn="ctr"/>
            <a:t>GC</a:t>
          </a:fld>
          <a:endParaRPr lang="ur-PK" sz="1100" b="1">
            <a:solidFill>
              <a:sysClr val="windowText" lastClr="000000"/>
            </a:solidFill>
            <a:latin typeface="+mn-lt"/>
            <a:cs typeface="Segoe UI" panose="020B0502040204020203" pitchFamily="34" charset="0"/>
          </a:endParaRPr>
        </a:p>
      </xdr:txBody>
    </xdr:sp>
    <xdr:clientData/>
  </xdr:twoCellAnchor>
  <xdr:oneCellAnchor>
    <xdr:from>
      <xdr:col>0</xdr:col>
      <xdr:colOff>423854</xdr:colOff>
      <xdr:row>5</xdr:row>
      <xdr:rowOff>1970</xdr:rowOff>
    </xdr:from>
    <xdr:ext cx="1053237" cy="280205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423854" y="1026729"/>
          <a:ext cx="1053237" cy="280205"/>
        </a:xfrm>
        <a:prstGeom prst="rect">
          <a:avLst/>
        </a:prstGeom>
        <a:solidFill>
          <a:schemeClr val="bg2">
            <a:lumMod val="75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200" b="1">
              <a:latin typeface="+mn-lt"/>
              <a:cs typeface="Segoe UI" panose="020B0502040204020203" pitchFamily="34" charset="0"/>
            </a:rPr>
            <a:t>Project Name</a:t>
          </a:r>
        </a:p>
      </xdr:txBody>
    </xdr:sp>
    <xdr:clientData/>
  </xdr:oneCellAnchor>
  <xdr:oneCellAnchor>
    <xdr:from>
      <xdr:col>3</xdr:col>
      <xdr:colOff>444499</xdr:colOff>
      <xdr:row>4</xdr:row>
      <xdr:rowOff>190874</xdr:rowOff>
    </xdr:from>
    <xdr:ext cx="488467" cy="280205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2696881" y="1020109"/>
          <a:ext cx="488467" cy="280205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200" b="1">
              <a:solidFill>
                <a:sysClr val="windowText" lastClr="000000"/>
              </a:solidFill>
              <a:latin typeface="+mn-lt"/>
              <a:cs typeface="Segoe UI" panose="020B0502040204020203" pitchFamily="34" charset="0"/>
            </a:rPr>
            <a:t>Date</a:t>
          </a:r>
        </a:p>
      </xdr:txBody>
    </xdr:sp>
    <xdr:clientData/>
  </xdr:oneCellAnchor>
  <xdr:oneCellAnchor>
    <xdr:from>
      <xdr:col>6</xdr:col>
      <xdr:colOff>469899</xdr:colOff>
      <xdr:row>4</xdr:row>
      <xdr:rowOff>190874</xdr:rowOff>
    </xdr:from>
    <xdr:ext cx="727122" cy="280205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4974664" y="1020109"/>
          <a:ext cx="727122" cy="280205"/>
        </a:xfrm>
        <a:prstGeom prst="rect">
          <a:avLst/>
        </a:prstGeom>
        <a:solidFill>
          <a:schemeClr val="bg2">
            <a:lumMod val="75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200" b="1">
              <a:solidFill>
                <a:sysClr val="windowText" lastClr="000000"/>
              </a:solidFill>
              <a:latin typeface="+mn-lt"/>
              <a:cs typeface="Segoe UI" panose="020B0502040204020203" pitchFamily="34" charset="0"/>
            </a:rPr>
            <a:t>Base</a:t>
          </a:r>
          <a:r>
            <a:rPr lang="en-US" sz="1200" b="1">
              <a:solidFill>
                <a:schemeClr val="bg1"/>
              </a:solidFill>
              <a:latin typeface="+mn-lt"/>
              <a:cs typeface="Segoe UI" panose="020B0502040204020203" pitchFamily="34" charset="0"/>
            </a:rPr>
            <a:t> </a:t>
          </a:r>
          <a:r>
            <a:rPr lang="en-US" sz="1200" b="1">
              <a:solidFill>
                <a:sysClr val="windowText" lastClr="000000"/>
              </a:solidFill>
              <a:latin typeface="+mn-lt"/>
              <a:cs typeface="Segoe UI" panose="020B0502040204020203" pitchFamily="34" charset="0"/>
            </a:rPr>
            <a:t>Bid</a:t>
          </a:r>
        </a:p>
      </xdr:txBody>
    </xdr:sp>
    <xdr:clientData/>
  </xdr:oneCellAnchor>
  <xdr:oneCellAnchor>
    <xdr:from>
      <xdr:col>9</xdr:col>
      <xdr:colOff>463549</xdr:colOff>
      <xdr:row>4</xdr:row>
      <xdr:rowOff>195730</xdr:rowOff>
    </xdr:from>
    <xdr:ext cx="982385" cy="280205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7220696" y="1024965"/>
          <a:ext cx="982385" cy="280205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200" b="1">
              <a:solidFill>
                <a:sysClr val="windowText" lastClr="000000"/>
              </a:solidFill>
              <a:latin typeface="+mn-lt"/>
              <a:cs typeface="Segoe UI" panose="020B0502040204020203" pitchFamily="34" charset="0"/>
            </a:rPr>
            <a:t>Project</a:t>
          </a:r>
          <a:r>
            <a:rPr lang="en-US" sz="1200" b="1" baseline="0">
              <a:solidFill>
                <a:sysClr val="windowText" lastClr="000000"/>
              </a:solidFill>
              <a:latin typeface="+mn-lt"/>
              <a:cs typeface="Segoe UI" panose="020B0502040204020203" pitchFamily="34" charset="0"/>
            </a:rPr>
            <a:t> Type</a:t>
          </a:r>
          <a:endParaRPr lang="en-US" sz="1200" b="1">
            <a:solidFill>
              <a:sysClr val="windowText" lastClr="000000"/>
            </a:solidFill>
            <a:latin typeface="+mn-lt"/>
            <a:cs typeface="Segoe UI" panose="020B0502040204020203" pitchFamily="34" charset="0"/>
          </a:endParaRPr>
        </a:p>
      </xdr:txBody>
    </xdr:sp>
    <xdr:clientData/>
  </xdr:oneCellAnchor>
  <xdr:oneCellAnchor>
    <xdr:from>
      <xdr:col>12</xdr:col>
      <xdr:colOff>489825</xdr:colOff>
      <xdr:row>4</xdr:row>
      <xdr:rowOff>194236</xdr:rowOff>
    </xdr:from>
    <xdr:ext cx="697948" cy="280205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9554997" y="1021926"/>
          <a:ext cx="697948" cy="28020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200" b="1">
              <a:solidFill>
                <a:sysClr val="windowText" lastClr="000000"/>
              </a:solidFill>
              <a:latin typeface="+mn-lt"/>
              <a:cs typeface="Segoe UI" panose="020B0502040204020203" pitchFamily="34" charset="0"/>
            </a:rPr>
            <a:t>Address</a:t>
          </a:r>
        </a:p>
      </xdr:txBody>
    </xdr:sp>
    <xdr:clientData/>
  </xdr:oneCellAnchor>
  <xdr:oneCellAnchor>
    <xdr:from>
      <xdr:col>15</xdr:col>
      <xdr:colOff>520700</xdr:colOff>
      <xdr:row>5</xdr:row>
      <xdr:rowOff>1868</xdr:rowOff>
    </xdr:from>
    <xdr:ext cx="1116268" cy="280205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11782612" y="1032809"/>
          <a:ext cx="1116268" cy="28020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200" b="1">
              <a:solidFill>
                <a:sysClr val="windowText" lastClr="000000"/>
              </a:solidFill>
              <a:latin typeface="+mn-lt"/>
              <a:cs typeface="Segoe UI" panose="020B0502040204020203" pitchFamily="34" charset="0"/>
            </a:rPr>
            <a:t>Scope of Work</a:t>
          </a:r>
        </a:p>
      </xdr:txBody>
    </xdr:sp>
    <xdr:clientData/>
  </xdr:oneCellAnchor>
  <xdr:twoCellAnchor>
    <xdr:from>
      <xdr:col>10</xdr:col>
      <xdr:colOff>352962</xdr:colOff>
      <xdr:row>37</xdr:row>
      <xdr:rowOff>122051</xdr:rowOff>
    </xdr:from>
    <xdr:to>
      <xdr:col>16</xdr:col>
      <xdr:colOff>188851</xdr:colOff>
      <xdr:row>40</xdr:row>
      <xdr:rowOff>58551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7511144" y="7672778"/>
          <a:ext cx="4176980" cy="52531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en-US" sz="1800" b="1">
            <a:latin typeface="+mn-lt"/>
            <a:cs typeface="Segoe UI" panose="020B0502040204020203" pitchFamily="34" charset="0"/>
          </a:endParaRPr>
        </a:p>
      </xdr:txBody>
    </xdr:sp>
    <xdr:clientData/>
  </xdr:twoCellAnchor>
  <xdr:twoCellAnchor>
    <xdr:from>
      <xdr:col>0</xdr:col>
      <xdr:colOff>705972</xdr:colOff>
      <xdr:row>37</xdr:row>
      <xdr:rowOff>56030</xdr:rowOff>
    </xdr:from>
    <xdr:to>
      <xdr:col>7</xdr:col>
      <xdr:colOff>365646</xdr:colOff>
      <xdr:row>40</xdr:row>
      <xdr:rowOff>59691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705972" y="7563971"/>
          <a:ext cx="4836792" cy="59757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en-US" sz="1800" b="1">
            <a:solidFill>
              <a:schemeClr val="tx1"/>
            </a:solidFill>
            <a:latin typeface="+mn-lt"/>
            <a:cs typeface="Segoe UI" panose="020B0502040204020203" pitchFamily="34" charset="0"/>
          </a:endParaRPr>
        </a:p>
      </xdr:txBody>
    </xdr:sp>
    <xdr:clientData/>
  </xdr:twoCellAnchor>
  <xdr:twoCellAnchor>
    <xdr:from>
      <xdr:col>15</xdr:col>
      <xdr:colOff>28516</xdr:colOff>
      <xdr:row>11</xdr:row>
      <xdr:rowOff>223316</xdr:rowOff>
    </xdr:from>
    <xdr:to>
      <xdr:col>18</xdr:col>
      <xdr:colOff>304521</xdr:colOff>
      <xdr:row>14</xdr:row>
      <xdr:rowOff>97042</xdr:rowOff>
    </xdr:to>
    <xdr:sp macro="" textlink="'COST SUMMARY'!#REF!">
      <xdr:nvSpPr>
        <xdr:cNvPr id="15" name="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1315641" y="2518841"/>
          <a:ext cx="2609630" cy="559526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1" anchor="ctr"/>
        <a:lstStyle/>
        <a:p>
          <a:pPr algn="r"/>
          <a:fld id="{2AF80FDA-E973-421C-82E6-1CE4A90EAF8A}" type="TxLink">
            <a:rPr lang="en-US" sz="1200" b="1" i="0" u="none" strike="noStrike">
              <a:solidFill>
                <a:schemeClr val="bg1"/>
              </a:solidFill>
              <a:latin typeface="+mn-lt"/>
              <a:ea typeface="Cambria"/>
              <a:cs typeface="Times New Roman"/>
            </a:rPr>
            <a:pPr algn="r"/>
            <a:t> $52,545 </a:t>
          </a:fld>
          <a:endParaRPr lang="ur-PK" sz="3600" b="1">
            <a:solidFill>
              <a:schemeClr val="bg1"/>
            </a:solidFill>
            <a:latin typeface="+mn-lt"/>
            <a:cs typeface="Segoe UI" panose="020B0502040204020203" pitchFamily="34" charset="0"/>
          </a:endParaRPr>
        </a:p>
      </xdr:txBody>
    </xdr:sp>
    <xdr:clientData/>
  </xdr:twoCellAnchor>
  <xdr:twoCellAnchor>
    <xdr:from>
      <xdr:col>7</xdr:col>
      <xdr:colOff>598025</xdr:colOff>
      <xdr:row>11</xdr:row>
      <xdr:rowOff>228600</xdr:rowOff>
    </xdr:from>
    <xdr:to>
      <xdr:col>14</xdr:col>
      <xdr:colOff>598715</xdr:colOff>
      <xdr:row>37</xdr:row>
      <xdr:rowOff>161925</xdr:rowOff>
    </xdr:to>
    <xdr:graphicFrame macro="">
      <xdr:nvGraphicFramePr>
        <xdr:cNvPr id="54" name="Chart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15</xdr:col>
      <xdr:colOff>20469</xdr:colOff>
      <xdr:row>11</xdr:row>
      <xdr:rowOff>225460</xdr:rowOff>
    </xdr:from>
    <xdr:ext cx="1536661" cy="602799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11326230" y="2519743"/>
          <a:ext cx="1536661" cy="602799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r>
            <a:rPr lang="en-US" sz="1400" b="1">
              <a:latin typeface="+mn-lt"/>
              <a:cs typeface="Segoe UI" panose="020B0502040204020203" pitchFamily="34" charset="0"/>
            </a:rPr>
            <a:t>Material</a:t>
          </a:r>
        </a:p>
      </xdr:txBody>
    </xdr:sp>
    <xdr:clientData/>
  </xdr:oneCellAnchor>
  <xdr:twoCellAnchor>
    <xdr:from>
      <xdr:col>15</xdr:col>
      <xdr:colOff>43928</xdr:colOff>
      <xdr:row>16</xdr:row>
      <xdr:rowOff>61598</xdr:rowOff>
    </xdr:from>
    <xdr:to>
      <xdr:col>18</xdr:col>
      <xdr:colOff>319933</xdr:colOff>
      <xdr:row>19</xdr:row>
      <xdr:rowOff>22410</xdr:rowOff>
    </xdr:to>
    <xdr:sp macro="" textlink="'COST SUMMARY'!#REF!">
      <xdr:nvSpPr>
        <xdr:cNvPr id="56" name="Rectangl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0984071" y="3425284"/>
          <a:ext cx="2551119" cy="548640"/>
        </a:xfrm>
        <a:prstGeom prst="rect">
          <a:avLst/>
        </a:prstGeom>
        <a:solidFill>
          <a:schemeClr val="accent3">
            <a:lumMod val="75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1" anchor="ctr"/>
        <a:lstStyle/>
        <a:p>
          <a:pPr algn="r"/>
          <a:fld id="{1DF2909F-5ADE-4FB0-BDC2-66594137DBF8}" type="TxLink">
            <a:rPr lang="en-US" sz="1200" b="1" i="0" u="none" strike="noStrike">
              <a:solidFill>
                <a:schemeClr val="bg1"/>
              </a:solidFill>
              <a:latin typeface="+mn-lt"/>
              <a:ea typeface="Cambria"/>
              <a:cs typeface="Times New Roman"/>
            </a:rPr>
            <a:pPr algn="r"/>
            <a:t> $115,246 </a:t>
          </a:fld>
          <a:endParaRPr lang="ur-PK" sz="3600" b="1">
            <a:solidFill>
              <a:schemeClr val="bg1"/>
            </a:solidFill>
            <a:latin typeface="+mn-lt"/>
            <a:cs typeface="Segoe UI" panose="020B0502040204020203" pitchFamily="34" charset="0"/>
          </a:endParaRPr>
        </a:p>
      </xdr:txBody>
    </xdr:sp>
    <xdr:clientData/>
  </xdr:twoCellAnchor>
  <xdr:oneCellAnchor>
    <xdr:from>
      <xdr:col>15</xdr:col>
      <xdr:colOff>35881</xdr:colOff>
      <xdr:row>16</xdr:row>
      <xdr:rowOff>54797</xdr:rowOff>
    </xdr:from>
    <xdr:ext cx="1512473" cy="557784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11341642" y="3450667"/>
          <a:ext cx="1512473" cy="55778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r>
            <a:rPr lang="en-US" sz="1400" b="1">
              <a:latin typeface="+mn-lt"/>
              <a:cs typeface="Segoe UI" panose="020B0502040204020203" pitchFamily="34" charset="0"/>
            </a:rPr>
            <a:t>Labor</a:t>
          </a:r>
        </a:p>
      </xdr:txBody>
    </xdr:sp>
    <xdr:clientData/>
  </xdr:oneCellAnchor>
  <xdr:twoCellAnchor>
    <xdr:from>
      <xdr:col>15</xdr:col>
      <xdr:colOff>43928</xdr:colOff>
      <xdr:row>20</xdr:row>
      <xdr:rowOff>182909</xdr:rowOff>
    </xdr:from>
    <xdr:to>
      <xdr:col>18</xdr:col>
      <xdr:colOff>319933</xdr:colOff>
      <xdr:row>23</xdr:row>
      <xdr:rowOff>78406</xdr:rowOff>
    </xdr:to>
    <xdr:sp macro="" textlink="'COST SUMMARY'!#REF!">
      <xdr:nvSpPr>
        <xdr:cNvPr id="58" name="Rectangl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0984071" y="4330366"/>
          <a:ext cx="2551119" cy="548640"/>
        </a:xfrm>
        <a:prstGeom prst="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1" anchor="ctr"/>
        <a:lstStyle/>
        <a:p>
          <a:pPr algn="r"/>
          <a:fld id="{56C18716-F7A6-468B-B58C-561736995BB2}" type="TxLink">
            <a:rPr lang="en-US" sz="1200" b="1" i="0" u="none" strike="noStrike">
              <a:solidFill>
                <a:schemeClr val="bg1"/>
              </a:solidFill>
              <a:latin typeface="+mn-lt"/>
              <a:ea typeface="Cambria"/>
              <a:cs typeface="Times New Roman"/>
            </a:rPr>
            <a:pPr algn="r"/>
            <a:t> $4,520 </a:t>
          </a:fld>
          <a:endParaRPr lang="ur-PK" sz="3600" b="1">
            <a:solidFill>
              <a:schemeClr val="bg1"/>
            </a:solidFill>
            <a:latin typeface="+mn-lt"/>
            <a:cs typeface="Segoe UI" panose="020B0502040204020203" pitchFamily="34" charset="0"/>
          </a:endParaRPr>
        </a:p>
      </xdr:txBody>
    </xdr:sp>
    <xdr:clientData/>
  </xdr:twoCellAnchor>
  <xdr:oneCellAnchor>
    <xdr:from>
      <xdr:col>15</xdr:col>
      <xdr:colOff>35881</xdr:colOff>
      <xdr:row>20</xdr:row>
      <xdr:rowOff>184391</xdr:rowOff>
    </xdr:from>
    <xdr:ext cx="1512473" cy="557784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11008681" y="4360151"/>
          <a:ext cx="1512473" cy="55778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r>
            <a:rPr lang="en-US" sz="1400" b="1">
              <a:latin typeface="+mn-lt"/>
              <a:cs typeface="Segoe UI" panose="020B0502040204020203" pitchFamily="34" charset="0"/>
            </a:rPr>
            <a:t>Material Tax</a:t>
          </a:r>
        </a:p>
      </xdr:txBody>
    </xdr:sp>
    <xdr:clientData/>
  </xdr:oneCellAnchor>
  <xdr:twoCellAnchor>
    <xdr:from>
      <xdr:col>15</xdr:col>
      <xdr:colOff>54814</xdr:colOff>
      <xdr:row>25</xdr:row>
      <xdr:rowOff>42962</xdr:rowOff>
    </xdr:from>
    <xdr:to>
      <xdr:col>18</xdr:col>
      <xdr:colOff>330819</xdr:colOff>
      <xdr:row>27</xdr:row>
      <xdr:rowOff>167059</xdr:rowOff>
    </xdr:to>
    <xdr:sp macro="" textlink="'COST SUMMARY'!#REF!">
      <xdr:nvSpPr>
        <xdr:cNvPr id="60" name="Rectangl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0994957" y="5235448"/>
          <a:ext cx="2551119" cy="548640"/>
        </a:xfrm>
        <a:prstGeom prst="rect">
          <a:avLst/>
        </a:prstGeom>
        <a:solidFill>
          <a:schemeClr val="accent5">
            <a:lumMod val="75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1" anchor="ctr"/>
        <a:lstStyle/>
        <a:p>
          <a:pPr algn="r"/>
          <a:fld id="{050ACC7F-05D1-4092-856F-9A0FA36A0215}" type="TxLink">
            <a:rPr lang="en-US" sz="1200" b="1" i="0" u="none" strike="noStrike">
              <a:solidFill>
                <a:schemeClr val="bg1"/>
              </a:solidFill>
              <a:latin typeface="+mn-lt"/>
              <a:ea typeface="Cambria"/>
              <a:cs typeface="Times New Roman"/>
            </a:rPr>
            <a:pPr algn="r"/>
            <a:t> $10,509 </a:t>
          </a:fld>
          <a:endParaRPr lang="ur-PK" sz="3600" b="1">
            <a:solidFill>
              <a:schemeClr val="bg1"/>
            </a:solidFill>
            <a:latin typeface="+mn-lt"/>
            <a:cs typeface="Segoe UI" panose="020B0502040204020203" pitchFamily="34" charset="0"/>
          </a:endParaRPr>
        </a:p>
      </xdr:txBody>
    </xdr:sp>
    <xdr:clientData/>
  </xdr:twoCellAnchor>
  <xdr:oneCellAnchor>
    <xdr:from>
      <xdr:col>15</xdr:col>
      <xdr:colOff>46767</xdr:colOff>
      <xdr:row>25</xdr:row>
      <xdr:rowOff>44444</xdr:rowOff>
    </xdr:from>
    <xdr:ext cx="1512473" cy="557784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11019567" y="5271764"/>
          <a:ext cx="1512473" cy="55778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r>
            <a:rPr lang="en-US" sz="1400" b="1">
              <a:latin typeface="+mn-lt"/>
              <a:cs typeface="Segoe UI" panose="020B0502040204020203" pitchFamily="34" charset="0"/>
            </a:rPr>
            <a:t>Material</a:t>
          </a:r>
          <a:r>
            <a:rPr lang="en-US" sz="1400" b="1" baseline="0">
              <a:latin typeface="+mn-lt"/>
              <a:cs typeface="Segoe UI" panose="020B0502040204020203" pitchFamily="34" charset="0"/>
            </a:rPr>
            <a:t> Profit</a:t>
          </a:r>
          <a:endParaRPr lang="en-US" sz="1400" b="1">
            <a:latin typeface="+mn-lt"/>
            <a:cs typeface="Segoe UI" panose="020B0502040204020203" pitchFamily="34" charset="0"/>
          </a:endParaRPr>
        </a:p>
      </xdr:txBody>
    </xdr:sp>
    <xdr:clientData/>
  </xdr:oneCellAnchor>
  <xdr:twoCellAnchor>
    <xdr:from>
      <xdr:col>15</xdr:col>
      <xdr:colOff>54814</xdr:colOff>
      <xdr:row>29</xdr:row>
      <xdr:rowOff>131616</xdr:rowOff>
    </xdr:from>
    <xdr:to>
      <xdr:col>18</xdr:col>
      <xdr:colOff>330819</xdr:colOff>
      <xdr:row>32</xdr:row>
      <xdr:rowOff>92427</xdr:rowOff>
    </xdr:to>
    <xdr:sp macro="" textlink="'COST SUMMARY'!#REF!">
      <xdr:nvSpPr>
        <xdr:cNvPr id="62" name="Rectangl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10994957" y="6140530"/>
          <a:ext cx="2551119" cy="54864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1" anchor="ctr"/>
        <a:lstStyle/>
        <a:p>
          <a:pPr algn="r"/>
          <a:fld id="{A9EAC16A-A07E-41B0-A80A-8BA3141E54C0}" type="TxLink">
            <a:rPr lang="en-US" sz="1200" b="1" i="0" u="none" strike="noStrike">
              <a:solidFill>
                <a:schemeClr val="bg1"/>
              </a:solidFill>
              <a:latin typeface="+mn-lt"/>
              <a:ea typeface="Cambria"/>
              <a:cs typeface="Times New Roman"/>
            </a:rPr>
            <a:pPr algn="r"/>
            <a:t> $23,049 </a:t>
          </a:fld>
          <a:endParaRPr lang="ur-PK" sz="3600" b="1">
            <a:solidFill>
              <a:schemeClr val="bg1"/>
            </a:solidFill>
            <a:latin typeface="+mn-lt"/>
            <a:cs typeface="Segoe UI" panose="020B0502040204020203" pitchFamily="34" charset="0"/>
          </a:endParaRPr>
        </a:p>
      </xdr:txBody>
    </xdr:sp>
    <xdr:clientData/>
  </xdr:twoCellAnchor>
  <xdr:oneCellAnchor>
    <xdr:from>
      <xdr:col>15</xdr:col>
      <xdr:colOff>46767</xdr:colOff>
      <xdr:row>29</xdr:row>
      <xdr:rowOff>133098</xdr:rowOff>
    </xdr:from>
    <xdr:ext cx="1512473" cy="557784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11019567" y="6183378"/>
          <a:ext cx="1512473" cy="55778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r>
            <a:rPr lang="en-US" sz="1400" b="1">
              <a:latin typeface="+mn-lt"/>
              <a:cs typeface="Segoe UI" panose="020B0502040204020203" pitchFamily="34" charset="0"/>
            </a:rPr>
            <a:t>Labor Profit</a:t>
          </a:r>
        </a:p>
      </xdr:txBody>
    </xdr:sp>
    <xdr:clientData/>
  </xdr:oneCellAnchor>
  <xdr:twoCellAnchor>
    <xdr:from>
      <xdr:col>15</xdr:col>
      <xdr:colOff>43928</xdr:colOff>
      <xdr:row>34</xdr:row>
      <xdr:rowOff>13439</xdr:rowOff>
    </xdr:from>
    <xdr:to>
      <xdr:col>18</xdr:col>
      <xdr:colOff>319933</xdr:colOff>
      <xdr:row>36</xdr:row>
      <xdr:rowOff>170193</xdr:rowOff>
    </xdr:to>
    <xdr:sp macro="" textlink="'BASE BID'!R350">
      <xdr:nvSpPr>
        <xdr:cNvPr id="64" name="Rectangl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10984071" y="7045610"/>
          <a:ext cx="2551119" cy="548640"/>
        </a:xfrm>
        <a:prstGeom prst="rect">
          <a:avLst/>
        </a:prstGeom>
        <a:solidFill>
          <a:srgbClr val="996600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1" anchor="ctr"/>
        <a:lstStyle/>
        <a:p>
          <a:pPr algn="r"/>
          <a:fld id="{45A2797F-00D5-42F5-9898-110879AFFCDD}" type="TxLink">
            <a:rPr lang="en-US" sz="1200" b="1" i="0" u="none" strike="noStrike">
              <a:solidFill>
                <a:schemeClr val="bg1"/>
              </a:solidFill>
              <a:latin typeface="+mn-lt"/>
              <a:cs typeface="Calibri"/>
            </a:rPr>
            <a:pPr algn="r"/>
            <a:t> $3,107 </a:t>
          </a:fld>
          <a:endParaRPr lang="ur-PK" sz="3600" b="1">
            <a:solidFill>
              <a:schemeClr val="bg1"/>
            </a:solidFill>
            <a:latin typeface="+mn-lt"/>
            <a:cs typeface="Segoe UI" panose="020B0502040204020203" pitchFamily="34" charset="0"/>
          </a:endParaRPr>
        </a:p>
      </xdr:txBody>
    </xdr:sp>
    <xdr:clientData/>
  </xdr:twoCellAnchor>
  <xdr:oneCellAnchor>
    <xdr:from>
      <xdr:col>15</xdr:col>
      <xdr:colOff>35881</xdr:colOff>
      <xdr:row>34</xdr:row>
      <xdr:rowOff>14921</xdr:rowOff>
    </xdr:from>
    <xdr:ext cx="1512473" cy="557784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11008681" y="7101521"/>
          <a:ext cx="1512473" cy="55778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r>
            <a:rPr lang="en-US" sz="1400" b="1">
              <a:latin typeface="+mn-lt"/>
              <a:cs typeface="Segoe UI" panose="020B0502040204020203" pitchFamily="34" charset="0"/>
            </a:rPr>
            <a:t>Bond</a:t>
          </a:r>
          <a:r>
            <a:rPr lang="en-US" sz="1400" b="1" baseline="0">
              <a:latin typeface="+mn-lt"/>
              <a:cs typeface="Segoe UI" panose="020B0502040204020203" pitchFamily="34" charset="0"/>
            </a:rPr>
            <a:t> Fee</a:t>
          </a:r>
          <a:endParaRPr lang="en-US" sz="1400" b="1">
            <a:latin typeface="+mn-lt"/>
            <a:cs typeface="Segoe UI" panose="020B0502040204020203" pitchFamily="34" charset="0"/>
          </a:endParaRPr>
        </a:p>
      </xdr:txBody>
    </xdr:sp>
    <xdr:clientData/>
  </xdr:oneCellAnchor>
  <xdr:twoCellAnchor>
    <xdr:from>
      <xdr:col>0</xdr:col>
      <xdr:colOff>426720</xdr:colOff>
      <xdr:row>12</xdr:row>
      <xdr:rowOff>95281</xdr:rowOff>
    </xdr:from>
    <xdr:to>
      <xdr:col>7</xdr:col>
      <xdr:colOff>237196</xdr:colOff>
      <xdr:row>21</xdr:row>
      <xdr:rowOff>68580</xdr:rowOff>
    </xdr:to>
    <xdr:grpSp>
      <xdr:nvGrpSpPr>
        <xdr:cNvPr id="69" name="Group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GrpSpPr/>
      </xdr:nvGrpSpPr>
      <xdr:grpSpPr>
        <a:xfrm>
          <a:off x="426720" y="2683840"/>
          <a:ext cx="5066035" cy="1799858"/>
          <a:chOff x="628858" y="2663813"/>
          <a:chExt cx="4729061" cy="2268533"/>
        </a:xfrm>
      </xdr:grpSpPr>
      <xdr:sp macro="" textlink="">
        <xdr:nvSpPr>
          <xdr:cNvPr id="70" name="Freeform: Shape 69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/>
        </xdr:nvSpPr>
        <xdr:spPr>
          <a:xfrm>
            <a:off x="635074" y="2674673"/>
            <a:ext cx="2287725" cy="512523"/>
          </a:xfrm>
          <a:custGeom>
            <a:avLst/>
            <a:gdLst>
              <a:gd name="connsiteX0" fmla="*/ 0 w 2287725"/>
              <a:gd name="connsiteY0" fmla="*/ 0 h 910800"/>
              <a:gd name="connsiteX1" fmla="*/ 2287725 w 2287725"/>
              <a:gd name="connsiteY1" fmla="*/ 0 h 910800"/>
              <a:gd name="connsiteX2" fmla="*/ 2287725 w 2287725"/>
              <a:gd name="connsiteY2" fmla="*/ 910800 h 910800"/>
              <a:gd name="connsiteX3" fmla="*/ 0 w 2287725"/>
              <a:gd name="connsiteY3" fmla="*/ 910800 h 910800"/>
              <a:gd name="connsiteX4" fmla="*/ 0 w 2287725"/>
              <a:gd name="connsiteY4" fmla="*/ 0 h 910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2287725" h="910800">
                <a:moveTo>
                  <a:pt x="0" y="0"/>
                </a:moveTo>
                <a:lnTo>
                  <a:pt x="2287725" y="0"/>
                </a:lnTo>
                <a:lnTo>
                  <a:pt x="2287725" y="910800"/>
                </a:lnTo>
                <a:lnTo>
                  <a:pt x="0" y="910800"/>
                </a:lnTo>
                <a:lnTo>
                  <a:pt x="0" y="0"/>
                </a:lnTo>
                <a:close/>
              </a:path>
            </a:pathLst>
          </a:custGeom>
          <a:solidFill>
            <a:srgbClr val="DDEBF7"/>
          </a:solidFill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42240" tIns="50800" rIns="142240" bIns="50800" numCol="1" spcCol="1270" anchor="ctr" anchorCtr="0">
            <a:noAutofit/>
          </a:bodyPr>
          <a:lstStyle/>
          <a:p>
            <a:pPr marL="0" lvl="0" indent="0" algn="l" defTabSz="889000" rtl="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en-US" sz="1600" b="1" kern="1200">
                <a:solidFill>
                  <a:sysClr val="windowText" lastClr="000000"/>
                </a:solidFill>
                <a:latin typeface="+mn-lt"/>
                <a:cs typeface="Segoe UI" panose="020B0502040204020203" pitchFamily="34" charset="0"/>
              </a:rPr>
              <a:t>Base Bid</a:t>
            </a:r>
            <a:endParaRPr lang="ur-PK" sz="1600" b="1" kern="1200">
              <a:solidFill>
                <a:sysClr val="windowText" lastClr="000000"/>
              </a:solidFill>
              <a:latin typeface="+mn-lt"/>
              <a:cs typeface="Segoe UI" panose="020B0502040204020203" pitchFamily="34" charset="0"/>
            </a:endParaRPr>
          </a:p>
        </xdr:txBody>
      </xdr:sp>
      <xdr:sp macro="" textlink="'COST SUMMARY'!D10">
        <xdr:nvSpPr>
          <xdr:cNvPr id="72" name="Freeform: Shape 71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/>
        </xdr:nvSpPr>
        <xdr:spPr>
          <a:xfrm>
            <a:off x="3030933" y="2663813"/>
            <a:ext cx="2326986" cy="512953"/>
          </a:xfrm>
          <a:custGeom>
            <a:avLst/>
            <a:gdLst>
              <a:gd name="connsiteX0" fmla="*/ 0 w 2077736"/>
              <a:gd name="connsiteY0" fmla="*/ 0 h 512953"/>
              <a:gd name="connsiteX1" fmla="*/ 2077736 w 2077736"/>
              <a:gd name="connsiteY1" fmla="*/ 0 h 512953"/>
              <a:gd name="connsiteX2" fmla="*/ 2077736 w 2077736"/>
              <a:gd name="connsiteY2" fmla="*/ 512953 h 512953"/>
              <a:gd name="connsiteX3" fmla="*/ 0 w 2077736"/>
              <a:gd name="connsiteY3" fmla="*/ 512953 h 512953"/>
              <a:gd name="connsiteX4" fmla="*/ 0 w 2077736"/>
              <a:gd name="connsiteY4" fmla="*/ 0 h 51295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2077736" h="512953">
                <a:moveTo>
                  <a:pt x="0" y="0"/>
                </a:moveTo>
                <a:lnTo>
                  <a:pt x="2077736" y="0"/>
                </a:lnTo>
                <a:lnTo>
                  <a:pt x="2077736" y="512953"/>
                </a:lnTo>
                <a:lnTo>
                  <a:pt x="0" y="512953"/>
                </a:lnTo>
                <a:lnTo>
                  <a:pt x="0" y="0"/>
                </a:lnTo>
                <a:close/>
              </a:path>
            </a:pathLst>
          </a:custGeom>
          <a:noFill/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75260" tIns="175260" rIns="175260" bIns="175260" numCol="1" spcCol="1270" anchor="ctr" anchorCtr="0">
            <a:noAutofit/>
          </a:bodyPr>
          <a:lstStyle/>
          <a:p>
            <a:pPr algn="r" rtl="0"/>
            <a:fld id="{51D7562B-E33C-471F-BEE2-C9B8241A4D20}" type="TxLink">
              <a:rPr lang="en-US" sz="1600" b="1" i="0" u="none" strike="noStrike">
                <a:solidFill>
                  <a:sysClr val="windowText" lastClr="000000"/>
                </a:solidFill>
                <a:effectLst/>
                <a:latin typeface="+mn-lt"/>
                <a:ea typeface="+mn-ea"/>
                <a:cs typeface="Segoe UI" panose="020B0502040204020203" pitchFamily="34" charset="0"/>
              </a:rPr>
              <a:pPr algn="r" rtl="0"/>
              <a:t> $210,273 </a:t>
            </a:fld>
            <a:endParaRPr lang="ur-PK" sz="1600" b="1">
              <a:solidFill>
                <a:sysClr val="windowText" lastClr="000000"/>
              </a:solidFill>
              <a:effectLst/>
              <a:latin typeface="+mn-lt"/>
              <a:cs typeface="Segoe UI" panose="020B0502040204020203" pitchFamily="34" charset="0"/>
            </a:endParaRPr>
          </a:p>
        </xdr:txBody>
      </xdr:sp>
      <xdr:sp macro="" textlink="">
        <xdr:nvSpPr>
          <xdr:cNvPr id="73" name="Freeform: Shape 7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/>
        </xdr:nvSpPr>
        <xdr:spPr>
          <a:xfrm>
            <a:off x="628858" y="3547248"/>
            <a:ext cx="2287725" cy="512523"/>
          </a:xfrm>
          <a:custGeom>
            <a:avLst/>
            <a:gdLst>
              <a:gd name="connsiteX0" fmla="*/ 0 w 2287725"/>
              <a:gd name="connsiteY0" fmla="*/ 0 h 910800"/>
              <a:gd name="connsiteX1" fmla="*/ 2287725 w 2287725"/>
              <a:gd name="connsiteY1" fmla="*/ 0 h 910800"/>
              <a:gd name="connsiteX2" fmla="*/ 2287725 w 2287725"/>
              <a:gd name="connsiteY2" fmla="*/ 910800 h 910800"/>
              <a:gd name="connsiteX3" fmla="*/ 0 w 2287725"/>
              <a:gd name="connsiteY3" fmla="*/ 910800 h 910800"/>
              <a:gd name="connsiteX4" fmla="*/ 0 w 2287725"/>
              <a:gd name="connsiteY4" fmla="*/ 0 h 910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2287725" h="910800">
                <a:moveTo>
                  <a:pt x="0" y="0"/>
                </a:moveTo>
                <a:lnTo>
                  <a:pt x="2287725" y="0"/>
                </a:lnTo>
                <a:lnTo>
                  <a:pt x="2287725" y="910800"/>
                </a:lnTo>
                <a:lnTo>
                  <a:pt x="0" y="910800"/>
                </a:lnTo>
                <a:lnTo>
                  <a:pt x="0" y="0"/>
                </a:lnTo>
                <a:close/>
              </a:path>
            </a:pathLst>
          </a:custGeom>
          <a:solidFill>
            <a:srgbClr val="DDEBF7"/>
          </a:solidFill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42240" tIns="50800" rIns="142240" bIns="50800" numCol="1" spcCol="1270" anchor="ctr" anchorCtr="0">
            <a:noAutofit/>
          </a:bodyPr>
          <a:lstStyle/>
          <a:p>
            <a:pPr marL="0" lvl="0" indent="0" algn="l" defTabSz="889000" rtl="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en-US" sz="1600" b="1" kern="1200">
                <a:solidFill>
                  <a:sysClr val="windowText" lastClr="000000"/>
                </a:solidFill>
                <a:latin typeface="+mn-lt"/>
                <a:cs typeface="Segoe UI" panose="020B0502040204020203" pitchFamily="34" charset="0"/>
              </a:rPr>
              <a:t>By Others</a:t>
            </a:r>
            <a:endParaRPr lang="ur-PK" sz="1600" b="1" kern="1200">
              <a:solidFill>
                <a:sysClr val="windowText" lastClr="000000"/>
              </a:solidFill>
              <a:latin typeface="+mn-lt"/>
              <a:cs typeface="Segoe UI" panose="020B0502040204020203" pitchFamily="34" charset="0"/>
            </a:endParaRPr>
          </a:p>
        </xdr:txBody>
      </xdr:sp>
      <xdr:sp macro="" textlink="">
        <xdr:nvSpPr>
          <xdr:cNvPr id="76" name="Freeform: Shape 75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/>
        </xdr:nvSpPr>
        <xdr:spPr>
          <a:xfrm>
            <a:off x="628858" y="4419823"/>
            <a:ext cx="2287725" cy="512523"/>
          </a:xfrm>
          <a:custGeom>
            <a:avLst/>
            <a:gdLst>
              <a:gd name="connsiteX0" fmla="*/ 0 w 2287725"/>
              <a:gd name="connsiteY0" fmla="*/ 0 h 910800"/>
              <a:gd name="connsiteX1" fmla="*/ 2287725 w 2287725"/>
              <a:gd name="connsiteY1" fmla="*/ 0 h 910800"/>
              <a:gd name="connsiteX2" fmla="*/ 2287725 w 2287725"/>
              <a:gd name="connsiteY2" fmla="*/ 910800 h 910800"/>
              <a:gd name="connsiteX3" fmla="*/ 0 w 2287725"/>
              <a:gd name="connsiteY3" fmla="*/ 910800 h 910800"/>
              <a:gd name="connsiteX4" fmla="*/ 0 w 2287725"/>
              <a:gd name="connsiteY4" fmla="*/ 0 h 910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2287725" h="910800">
                <a:moveTo>
                  <a:pt x="0" y="0"/>
                </a:moveTo>
                <a:lnTo>
                  <a:pt x="2287725" y="0"/>
                </a:lnTo>
                <a:lnTo>
                  <a:pt x="2287725" y="910800"/>
                </a:lnTo>
                <a:lnTo>
                  <a:pt x="0" y="910800"/>
                </a:lnTo>
                <a:lnTo>
                  <a:pt x="0" y="0"/>
                </a:lnTo>
                <a:close/>
              </a:path>
            </a:pathLst>
          </a:custGeom>
          <a:solidFill>
            <a:srgbClr val="DDEBF7"/>
          </a:solidFill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42240" tIns="50800" rIns="142240" bIns="50800" numCol="1" spcCol="1270" anchor="ctr" anchorCtr="0">
            <a:noAutofit/>
          </a:bodyPr>
          <a:lstStyle/>
          <a:p>
            <a:pPr marL="0" lvl="0" indent="0" algn="l" defTabSz="889000" rtl="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en-US" sz="1600" b="1" kern="1200">
                <a:solidFill>
                  <a:sysClr val="windowText" lastClr="000000"/>
                </a:solidFill>
                <a:latin typeface="+mn-lt"/>
                <a:cs typeface="Segoe UI" panose="020B0502040204020203" pitchFamily="34" charset="0"/>
              </a:rPr>
              <a:t>Separate Permit</a:t>
            </a:r>
            <a:endParaRPr lang="ur-PK" sz="1600" b="1" kern="1200">
              <a:solidFill>
                <a:sysClr val="windowText" lastClr="000000"/>
              </a:solidFill>
              <a:latin typeface="+mn-lt"/>
              <a:cs typeface="Segoe UI" panose="020B0502040204020203" pitchFamily="34" charset="0"/>
            </a:endParaRPr>
          </a:p>
        </xdr:txBody>
      </xdr:sp>
    </xdr:grpSp>
    <xdr:clientData/>
  </xdr:twoCellAnchor>
  <xdr:twoCellAnchor>
    <xdr:from>
      <xdr:col>0</xdr:col>
      <xdr:colOff>268941</xdr:colOff>
      <xdr:row>38</xdr:row>
      <xdr:rowOff>78440</xdr:rowOff>
    </xdr:from>
    <xdr:to>
      <xdr:col>18</xdr:col>
      <xdr:colOff>403411</xdr:colOff>
      <xdr:row>75</xdr:row>
      <xdr:rowOff>112058</xdr:rowOff>
    </xdr:to>
    <xdr:graphicFrame macro="">
      <xdr:nvGraphicFramePr>
        <xdr:cNvPr id="48" name="Chart 47">
          <a:extLst>
            <a:ext uri="{FF2B5EF4-FFF2-40B4-BE49-F238E27FC236}">
              <a16:creationId xmlns:a16="http://schemas.microsoft.com/office/drawing/2014/main" id="{8581636A-E86D-4A7E-980C-F295924D02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0.08738</cdr:x>
      <cdr:y>0</cdr:y>
    </cdr:from>
    <cdr:to>
      <cdr:x>0.92114</cdr:x>
      <cdr:y>0.10022</cdr:y>
    </cdr:to>
    <cdr:sp macro="" textlink="">
      <cdr:nvSpPr>
        <cdr:cNvPr id="2" name="TextBox 16">
          <a:extLst xmlns:a="http://schemas.openxmlformats.org/drawingml/2006/main">
            <a:ext uri="{FF2B5EF4-FFF2-40B4-BE49-F238E27FC236}">
              <a16:creationId xmlns:a16="http://schemas.microsoft.com/office/drawing/2014/main" id="{00000000-0008-0000-0000-000011000000}"/>
            </a:ext>
          </a:extLst>
        </cdr:cNvPr>
        <cdr:cNvSpPr txBox="1"/>
      </cdr:nvSpPr>
      <cdr:spPr>
        <a:xfrm xmlns:a="http://schemas.openxmlformats.org/drawingml/2006/main">
          <a:off x="459304" y="0"/>
          <a:ext cx="4382450" cy="51575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800" b="1">
              <a:latin typeface="Segoe UI" panose="020B0502040204020203" pitchFamily="34" charset="0"/>
              <a:cs typeface="Segoe UI" panose="020B0502040204020203" pitchFamily="34" charset="0"/>
            </a:rPr>
            <a:t>Cost Break-up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Custom 4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E36C09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tabColor rgb="FF92D050"/>
    <pageSetUpPr fitToPage="1"/>
  </sheetPr>
  <dimension ref="A1:W452"/>
  <sheetViews>
    <sheetView tabSelected="1" zoomScale="80" zoomScaleNormal="80" zoomScaleSheetLayoutView="40" workbookViewId="0">
      <pane ySplit="1" topLeftCell="A2" activePane="bottomLeft" state="frozen"/>
      <selection pane="bottomLeft" activeCell="F182" sqref="F182"/>
    </sheetView>
  </sheetViews>
  <sheetFormatPr defaultColWidth="8.88671875" defaultRowHeight="15.75" x14ac:dyDescent="0.2"/>
  <cols>
    <col min="1" max="1" width="15.21875" style="4" customWidth="1"/>
    <col min="2" max="2" width="29.77734375" style="4" customWidth="1"/>
    <col min="3" max="3" width="28.77734375" style="4" customWidth="1"/>
    <col min="4" max="4" width="14.88671875" style="4" bestFit="1" customWidth="1"/>
    <col min="5" max="5" width="36.21875" style="4" customWidth="1"/>
    <col min="6" max="6" width="64.21875" style="6" bestFit="1" customWidth="1"/>
    <col min="7" max="7" width="7.77734375" style="5" bestFit="1" customWidth="1"/>
    <col min="8" max="8" width="11.44140625" style="5" bestFit="1" customWidth="1"/>
    <col min="9" max="9" width="12.77734375" style="5" bestFit="1" customWidth="1"/>
    <col min="10" max="10" width="14.6640625" style="4" customWidth="1"/>
    <col min="11" max="11" width="21.77734375" style="4" customWidth="1"/>
    <col min="12" max="12" width="9.6640625" style="4" bestFit="1" customWidth="1"/>
    <col min="13" max="13" width="20.33203125" style="6" bestFit="1" customWidth="1"/>
    <col min="14" max="14" width="16.21875" style="6" bestFit="1" customWidth="1"/>
    <col min="15" max="15" width="20.77734375" style="6" bestFit="1" customWidth="1"/>
    <col min="16" max="16" width="14" style="6" bestFit="1" customWidth="1"/>
    <col min="17" max="17" width="23.109375" style="6" bestFit="1" customWidth="1"/>
    <col min="18" max="18" width="13.109375" style="1" bestFit="1" customWidth="1"/>
    <col min="19" max="19" width="23.109375" style="1" bestFit="1" customWidth="1"/>
    <col min="20" max="20" width="25.77734375" style="1" bestFit="1" customWidth="1"/>
    <col min="21" max="21" width="9.44140625" style="1" bestFit="1" customWidth="1"/>
    <col min="22" max="16384" width="8.88671875" style="1"/>
  </cols>
  <sheetData>
    <row r="1" spans="1:21" s="3" customFormat="1" ht="47.25" x14ac:dyDescent="0.2">
      <c r="A1" s="48" t="s">
        <v>153</v>
      </c>
      <c r="B1" s="48" t="s">
        <v>154</v>
      </c>
      <c r="C1" s="48" t="s">
        <v>155</v>
      </c>
      <c r="D1" s="48" t="s">
        <v>156</v>
      </c>
      <c r="E1" s="48" t="s">
        <v>58</v>
      </c>
      <c r="F1" s="48" t="s">
        <v>157</v>
      </c>
      <c r="G1" s="53" t="s">
        <v>158</v>
      </c>
      <c r="H1" s="53" t="s">
        <v>159</v>
      </c>
      <c r="I1" s="53" t="s">
        <v>160</v>
      </c>
      <c r="J1" s="48" t="s">
        <v>161</v>
      </c>
      <c r="K1" s="53" t="s">
        <v>162</v>
      </c>
      <c r="L1" s="53" t="s">
        <v>163</v>
      </c>
      <c r="M1" s="53" t="s">
        <v>164</v>
      </c>
      <c r="N1" s="53" t="s">
        <v>165</v>
      </c>
      <c r="O1" s="54" t="s">
        <v>166</v>
      </c>
      <c r="P1" s="54" t="s">
        <v>167</v>
      </c>
      <c r="Q1" s="48" t="s">
        <v>168</v>
      </c>
      <c r="R1" s="48" t="s">
        <v>169</v>
      </c>
      <c r="S1" s="126" t="s">
        <v>170</v>
      </c>
      <c r="T1" s="127" t="s">
        <v>171</v>
      </c>
      <c r="U1" s="2"/>
    </row>
    <row r="2" spans="1:21" s="37" customFormat="1" ht="21" x14ac:dyDescent="0.15">
      <c r="A2" s="290" t="s">
        <v>172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2"/>
      <c r="S2" s="128"/>
      <c r="T2" s="129"/>
    </row>
    <row r="3" spans="1:21" ht="21" x14ac:dyDescent="0.35">
      <c r="A3" s="84"/>
      <c r="B3" s="294" t="s">
        <v>173</v>
      </c>
      <c r="C3" s="294"/>
      <c r="D3" s="294"/>
      <c r="E3" s="294"/>
      <c r="F3" s="134"/>
      <c r="G3" s="125"/>
      <c r="H3" s="125"/>
      <c r="I3" s="125"/>
      <c r="J3" s="125"/>
      <c r="K3" s="125"/>
      <c r="L3" s="125"/>
      <c r="M3" s="125"/>
      <c r="N3" s="124"/>
      <c r="O3" s="124"/>
      <c r="P3" s="124"/>
      <c r="Q3" s="124"/>
      <c r="R3" s="79"/>
      <c r="S3" s="128"/>
      <c r="T3" s="129"/>
    </row>
    <row r="4" spans="1:21" ht="23.25" x14ac:dyDescent="0.35">
      <c r="A4" s="84"/>
      <c r="B4" s="31"/>
      <c r="C4" s="146"/>
      <c r="D4" s="147" t="s">
        <v>174</v>
      </c>
      <c r="E4" s="148">
        <f>Q346</f>
        <v>168871.24716016761</v>
      </c>
      <c r="F4" s="149"/>
      <c r="G4" s="225"/>
      <c r="H4" s="31"/>
      <c r="I4" s="163"/>
      <c r="J4" s="164" t="s">
        <v>15</v>
      </c>
      <c r="K4" s="103">
        <v>46065</v>
      </c>
      <c r="L4" s="165"/>
      <c r="M4" s="166"/>
      <c r="N4" s="166"/>
      <c r="O4" s="166"/>
      <c r="P4" s="166"/>
      <c r="Q4" s="167"/>
      <c r="R4" s="135"/>
      <c r="S4" s="128"/>
      <c r="T4" s="129"/>
    </row>
    <row r="5" spans="1:21" ht="21" x14ac:dyDescent="0.35">
      <c r="A5" s="84"/>
      <c r="B5" s="150"/>
      <c r="C5" s="226" t="s">
        <v>175</v>
      </c>
      <c r="D5" s="215">
        <v>8.6029999999999995E-2</v>
      </c>
      <c r="E5" s="23">
        <f>P346*D5</f>
        <v>4520.4384055596529</v>
      </c>
      <c r="F5" s="151" t="s">
        <v>176</v>
      </c>
      <c r="G5" s="225"/>
      <c r="H5" s="150"/>
      <c r="I5" s="227"/>
      <c r="J5" s="228" t="s">
        <v>17</v>
      </c>
      <c r="K5" s="229" t="s">
        <v>818</v>
      </c>
      <c r="L5" s="230"/>
      <c r="M5" s="231"/>
      <c r="N5" s="231"/>
      <c r="O5" s="231"/>
      <c r="P5" s="231"/>
      <c r="Q5" s="168"/>
      <c r="R5" s="135"/>
      <c r="S5" s="128"/>
      <c r="T5" s="129"/>
    </row>
    <row r="6" spans="1:21" ht="21" x14ac:dyDescent="0.35">
      <c r="A6" s="84"/>
      <c r="B6" s="150"/>
      <c r="C6" s="226" t="s">
        <v>177</v>
      </c>
      <c r="D6" s="27">
        <v>0.2</v>
      </c>
      <c r="E6" s="23">
        <f>P346*D6</f>
        <v>10508.981531000009</v>
      </c>
      <c r="F6" s="151" t="s">
        <v>178</v>
      </c>
      <c r="G6" s="225"/>
      <c r="H6" s="150"/>
      <c r="I6" s="227"/>
      <c r="J6" s="228" t="s">
        <v>19</v>
      </c>
      <c r="K6" s="232" t="s">
        <v>819</v>
      </c>
      <c r="L6" s="230"/>
      <c r="M6" s="231"/>
      <c r="N6" s="231"/>
      <c r="O6" s="231"/>
      <c r="P6" s="231"/>
      <c r="Q6" s="168"/>
      <c r="R6" s="135"/>
      <c r="S6" s="128"/>
      <c r="T6" s="129"/>
    </row>
    <row r="7" spans="1:21" ht="21" x14ac:dyDescent="0.35">
      <c r="A7" s="84"/>
      <c r="B7" s="150"/>
      <c r="C7" s="226" t="s">
        <v>179</v>
      </c>
      <c r="D7" s="28">
        <v>0.2</v>
      </c>
      <c r="E7" s="24">
        <f>N346*D7</f>
        <v>23265.267901033505</v>
      </c>
      <c r="F7" s="151" t="s">
        <v>178</v>
      </c>
      <c r="G7" s="225"/>
      <c r="H7" s="150"/>
      <c r="I7" s="227"/>
      <c r="J7" s="228" t="s">
        <v>180</v>
      </c>
      <c r="K7" s="233" t="s">
        <v>181</v>
      </c>
      <c r="L7" s="230"/>
      <c r="M7" s="231"/>
      <c r="N7" s="231"/>
      <c r="O7" s="231"/>
      <c r="P7" s="231"/>
      <c r="Q7" s="168"/>
      <c r="R7" s="135"/>
      <c r="S7" s="128"/>
      <c r="T7" s="129"/>
    </row>
    <row r="8" spans="1:21" ht="21.75" thickBot="1" x14ac:dyDescent="0.4">
      <c r="A8" s="84"/>
      <c r="B8" s="150"/>
      <c r="C8" s="29" t="s">
        <v>12</v>
      </c>
      <c r="D8" s="30">
        <v>1.4999999999999999E-2</v>
      </c>
      <c r="E8" s="25">
        <f>(E4+E5+E6+E7)*D8</f>
        <v>3107.4890249664118</v>
      </c>
      <c r="F8" s="151" t="s">
        <v>182</v>
      </c>
      <c r="G8" s="225"/>
      <c r="H8" s="150"/>
      <c r="I8" s="227"/>
      <c r="J8" s="228"/>
      <c r="K8" s="233"/>
      <c r="L8" s="230"/>
      <c r="M8" s="231"/>
      <c r="N8" s="231"/>
      <c r="O8" s="231"/>
      <c r="P8" s="231"/>
      <c r="Q8" s="168"/>
      <c r="R8" s="135"/>
      <c r="S8" s="128"/>
      <c r="T8" s="129"/>
    </row>
    <row r="9" spans="1:21" ht="27" thickTop="1" x14ac:dyDescent="0.3">
      <c r="A9" s="84"/>
      <c r="B9" s="34"/>
      <c r="C9" s="152"/>
      <c r="D9" s="153" t="s">
        <v>183</v>
      </c>
      <c r="E9" s="154">
        <f>E4+E5+E6+E7+E8</f>
        <v>210273.42402272718</v>
      </c>
      <c r="F9" s="90"/>
      <c r="G9" s="225"/>
      <c r="H9" s="150"/>
      <c r="I9" s="227"/>
      <c r="J9" s="234" t="s">
        <v>184</v>
      </c>
      <c r="K9" s="121"/>
      <c r="L9" s="230"/>
      <c r="M9" s="231"/>
      <c r="N9" s="231"/>
      <c r="O9" s="231"/>
      <c r="P9" s="231"/>
      <c r="Q9" s="168"/>
      <c r="R9" s="135"/>
      <c r="S9" s="128"/>
      <c r="T9" s="129"/>
    </row>
    <row r="10" spans="1:21" ht="18.75" x14ac:dyDescent="0.3">
      <c r="A10" s="84"/>
      <c r="B10" s="125"/>
      <c r="C10" s="125"/>
      <c r="D10" s="125"/>
      <c r="E10" s="125"/>
      <c r="F10" s="125"/>
      <c r="G10" s="225"/>
      <c r="H10" s="150"/>
      <c r="I10" s="227"/>
      <c r="J10" s="234" t="s">
        <v>185</v>
      </c>
      <c r="K10" s="122"/>
      <c r="L10" s="230"/>
      <c r="M10" s="231"/>
      <c r="N10" s="231"/>
      <c r="O10" s="231"/>
      <c r="P10" s="231"/>
      <c r="Q10" s="168"/>
      <c r="R10" s="135"/>
      <c r="S10" s="128"/>
      <c r="T10" s="129"/>
    </row>
    <row r="11" spans="1:21" ht="18.75" x14ac:dyDescent="0.3">
      <c r="A11" s="84"/>
      <c r="B11" s="31"/>
      <c r="C11" s="32" t="s">
        <v>186</v>
      </c>
      <c r="D11" s="33">
        <v>0</v>
      </c>
      <c r="E11" s="155" t="s">
        <v>187</v>
      </c>
      <c r="F11" s="149"/>
      <c r="G11" s="225"/>
      <c r="H11" s="150"/>
      <c r="I11" s="227"/>
      <c r="J11" s="235" t="s">
        <v>188</v>
      </c>
      <c r="K11" s="122" t="s">
        <v>716</v>
      </c>
      <c r="L11" s="230"/>
      <c r="M11" s="231"/>
      <c r="N11" s="231"/>
      <c r="O11" s="231"/>
      <c r="P11" s="231"/>
      <c r="Q11" s="168"/>
      <c r="R11" s="135"/>
      <c r="S11" s="128"/>
      <c r="T11" s="129"/>
    </row>
    <row r="12" spans="1:21" ht="18.75" x14ac:dyDescent="0.3">
      <c r="A12" s="84"/>
      <c r="B12" s="34"/>
      <c r="C12" s="35" t="s">
        <v>189</v>
      </c>
      <c r="D12" s="36">
        <v>0.05</v>
      </c>
      <c r="E12" s="236" t="s">
        <v>190</v>
      </c>
      <c r="F12" s="79"/>
      <c r="G12" s="225"/>
      <c r="H12" s="150"/>
      <c r="I12" s="227"/>
      <c r="J12" s="235" t="s">
        <v>191</v>
      </c>
      <c r="K12" s="123"/>
      <c r="L12" s="230"/>
      <c r="M12" s="231"/>
      <c r="N12" s="231"/>
      <c r="O12" s="231"/>
      <c r="P12" s="231"/>
      <c r="Q12" s="168"/>
      <c r="R12" s="135"/>
      <c r="S12" s="128"/>
      <c r="T12" s="129"/>
    </row>
    <row r="13" spans="1:21" ht="18.75" x14ac:dyDescent="0.3">
      <c r="A13" s="84"/>
      <c r="B13" s="156" t="s">
        <v>192</v>
      </c>
      <c r="C13" s="157"/>
      <c r="D13" s="157"/>
      <c r="E13" s="158"/>
      <c r="F13" s="90"/>
      <c r="G13" s="225"/>
      <c r="H13" s="150"/>
      <c r="I13" s="227"/>
      <c r="J13" s="234" t="s">
        <v>193</v>
      </c>
      <c r="K13" s="26">
        <v>0</v>
      </c>
      <c r="L13" s="230"/>
      <c r="M13" s="231"/>
      <c r="N13" s="231"/>
      <c r="O13" s="231"/>
      <c r="P13" s="231"/>
      <c r="Q13" s="168"/>
      <c r="R13" s="135"/>
      <c r="S13" s="128"/>
      <c r="T13" s="129"/>
    </row>
    <row r="14" spans="1:21" ht="21" x14ac:dyDescent="0.3">
      <c r="A14" s="84"/>
      <c r="B14" s="237"/>
      <c r="C14" s="237"/>
      <c r="D14" s="136"/>
      <c r="E14" s="136"/>
      <c r="F14" s="134"/>
      <c r="G14" s="225"/>
      <c r="H14" s="150"/>
      <c r="I14" s="227"/>
      <c r="J14" s="234" t="s">
        <v>194</v>
      </c>
      <c r="K14" s="26">
        <v>0</v>
      </c>
      <c r="L14" s="230"/>
      <c r="M14" s="231"/>
      <c r="N14" s="231"/>
      <c r="O14" s="231"/>
      <c r="P14" s="231"/>
      <c r="Q14" s="168"/>
      <c r="R14" s="135"/>
      <c r="S14" s="128"/>
      <c r="T14" s="129"/>
    </row>
    <row r="15" spans="1:21" ht="21" x14ac:dyDescent="0.35">
      <c r="A15" s="84"/>
      <c r="B15" s="159" t="s">
        <v>195</v>
      </c>
      <c r="C15" s="160"/>
      <c r="D15" s="161"/>
      <c r="E15" s="161"/>
      <c r="F15" s="162"/>
      <c r="G15" s="225"/>
      <c r="H15" s="34"/>
      <c r="I15" s="169"/>
      <c r="J15" s="170"/>
      <c r="K15" s="171"/>
      <c r="L15" s="172"/>
      <c r="M15" s="173"/>
      <c r="N15" s="173"/>
      <c r="O15" s="173"/>
      <c r="P15" s="173"/>
      <c r="Q15" s="174"/>
      <c r="R15" s="135"/>
      <c r="S15" s="130"/>
      <c r="T15" s="131"/>
      <c r="U15" s="12"/>
    </row>
    <row r="16" spans="1:21" ht="21" x14ac:dyDescent="0.2">
      <c r="A16" s="84"/>
      <c r="B16" s="136"/>
      <c r="C16" s="136"/>
      <c r="D16" s="136"/>
      <c r="E16" s="293"/>
      <c r="F16" s="293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37"/>
      <c r="S16" s="130"/>
      <c r="T16" s="132"/>
      <c r="U16" s="12"/>
    </row>
    <row r="17" spans="1:21" s="3" customFormat="1" ht="47.25" x14ac:dyDescent="0.2">
      <c r="A17" s="48" t="s">
        <v>153</v>
      </c>
      <c r="B17" s="48" t="s">
        <v>154</v>
      </c>
      <c r="C17" s="48" t="s">
        <v>155</v>
      </c>
      <c r="D17" s="48" t="s">
        <v>156</v>
      </c>
      <c r="E17" s="48" t="s">
        <v>58</v>
      </c>
      <c r="F17" s="175" t="s">
        <v>157</v>
      </c>
      <c r="G17" s="53" t="s">
        <v>158</v>
      </c>
      <c r="H17" s="53" t="s">
        <v>159</v>
      </c>
      <c r="I17" s="53" t="s">
        <v>160</v>
      </c>
      <c r="J17" s="93" t="s">
        <v>161</v>
      </c>
      <c r="K17" s="53" t="s">
        <v>162</v>
      </c>
      <c r="L17" s="53" t="s">
        <v>163</v>
      </c>
      <c r="M17" s="53" t="s">
        <v>164</v>
      </c>
      <c r="N17" s="53" t="s">
        <v>165</v>
      </c>
      <c r="O17" s="54" t="s">
        <v>166</v>
      </c>
      <c r="P17" s="54" t="s">
        <v>167</v>
      </c>
      <c r="Q17" s="48" t="s">
        <v>168</v>
      </c>
      <c r="R17" s="48" t="s">
        <v>169</v>
      </c>
      <c r="S17" s="126" t="s">
        <v>196</v>
      </c>
      <c r="T17" s="127" t="s">
        <v>197</v>
      </c>
      <c r="U17" s="2"/>
    </row>
    <row r="18" spans="1:21" s="7" customFormat="1" x14ac:dyDescent="0.2">
      <c r="A18" s="256"/>
      <c r="B18" s="256"/>
      <c r="C18" s="256"/>
      <c r="D18" s="256" t="s">
        <v>27</v>
      </c>
      <c r="E18" s="257"/>
      <c r="F18" s="258" t="s">
        <v>198</v>
      </c>
      <c r="G18" s="259"/>
      <c r="H18" s="258"/>
      <c r="I18" s="260"/>
      <c r="J18" s="260"/>
      <c r="K18" s="258"/>
      <c r="L18" s="258"/>
      <c r="M18" s="258"/>
      <c r="N18" s="258"/>
      <c r="O18" s="258"/>
      <c r="P18" s="258"/>
      <c r="Q18" s="258"/>
      <c r="R18" s="261">
        <f>SUM(Q19:Q66)</f>
        <v>11820.429770809991</v>
      </c>
      <c r="S18" s="108"/>
      <c r="T18" s="107"/>
      <c r="U18" s="13">
        <f>SUM(Q69:Q345)</f>
        <v>157050.81738935749</v>
      </c>
    </row>
    <row r="19" spans="1:21" s="7" customFormat="1" x14ac:dyDescent="0.2">
      <c r="A19" s="138"/>
      <c r="B19" s="49"/>
      <c r="C19" s="49"/>
      <c r="D19" s="95"/>
      <c r="E19" s="182"/>
      <c r="F19" s="176" t="s">
        <v>223</v>
      </c>
      <c r="G19" s="50"/>
      <c r="H19" s="51"/>
      <c r="I19" s="52"/>
      <c r="J19" s="94"/>
      <c r="K19" s="55"/>
      <c r="L19" s="56"/>
      <c r="M19" s="57"/>
      <c r="N19" s="58"/>
      <c r="O19" s="60"/>
      <c r="P19" s="60"/>
      <c r="Q19" s="61"/>
      <c r="R19" s="139"/>
      <c r="S19" s="128"/>
      <c r="T19" s="129"/>
      <c r="U19" s="14"/>
    </row>
    <row r="20" spans="1:21" s="7" customFormat="1" x14ac:dyDescent="0.2">
      <c r="A20" s="138"/>
      <c r="B20" s="49"/>
      <c r="C20" s="49"/>
      <c r="D20" s="95"/>
      <c r="E20" s="182"/>
      <c r="F20" s="177" t="s">
        <v>743</v>
      </c>
      <c r="G20" s="50"/>
      <c r="H20" s="51"/>
      <c r="I20" s="52"/>
      <c r="J20" s="94"/>
      <c r="K20" s="55"/>
      <c r="L20" s="59"/>
      <c r="M20" s="57"/>
      <c r="N20" s="58"/>
      <c r="O20" s="60"/>
      <c r="P20" s="60"/>
      <c r="Q20" s="61"/>
      <c r="R20" s="140"/>
      <c r="S20" s="128"/>
      <c r="T20" s="129"/>
    </row>
    <row r="21" spans="1:21" s="7" customFormat="1" x14ac:dyDescent="0.2">
      <c r="A21" s="141">
        <f>IF(J21&lt;&gt;"",1+MAX($A$18:A20),"")</f>
        <v>1</v>
      </c>
      <c r="B21" s="49"/>
      <c r="C21" s="49"/>
      <c r="D21" s="95" t="s">
        <v>27</v>
      </c>
      <c r="E21" s="182" t="s">
        <v>28</v>
      </c>
      <c r="F21" s="176" t="s">
        <v>744</v>
      </c>
      <c r="G21" s="50">
        <v>1</v>
      </c>
      <c r="H21" s="51">
        <f>IF(VLOOKUP(J21,'HOURLY RATES'!B$116:C$124,2,0)=0,$J$3,VLOOKUP(J21,'HOURLY RATES'!B$116:C$124,2,0))</f>
        <v>0</v>
      </c>
      <c r="I21" s="52">
        <f>(G21*(1+H21))</f>
        <v>1</v>
      </c>
      <c r="J21" s="94" t="s">
        <v>199</v>
      </c>
      <c r="K21" s="55"/>
      <c r="L21" s="59">
        <f>K21*I21</f>
        <v>0</v>
      </c>
      <c r="M21" s="57">
        <f>IF(VLOOKUP(E21,'HOURLY RATES'!C$6:D$105,2,0)=0,$E$3,VLOOKUP(E21,'HOURLY RATES'!C$6:D$105,2,0))</f>
        <v>73.944999999999993</v>
      </c>
      <c r="N21" s="57">
        <f>M21*L21</f>
        <v>0</v>
      </c>
      <c r="O21" s="60"/>
      <c r="P21" s="60">
        <f t="shared" ref="P21:P31" si="0">O21*I21</f>
        <v>0</v>
      </c>
      <c r="Q21" s="61">
        <f>P21+N21</f>
        <v>0</v>
      </c>
      <c r="R21" s="142"/>
      <c r="S21" s="108">
        <f>((((N21*(1+$D$7))+(P21*(1+$D$5+$D$6)))*(1+$D$8)))/I21</f>
        <v>0</v>
      </c>
      <c r="T21" s="107">
        <f>S21*I21</f>
        <v>0</v>
      </c>
    </row>
    <row r="22" spans="1:21" s="7" customFormat="1" x14ac:dyDescent="0.2">
      <c r="A22" s="141">
        <f>IF(J22&lt;&gt;"",1+MAX($A$18:A21),"")</f>
        <v>2</v>
      </c>
      <c r="B22" s="49"/>
      <c r="C22" s="49"/>
      <c r="D22" s="95" t="s">
        <v>27</v>
      </c>
      <c r="E22" s="182" t="s">
        <v>28</v>
      </c>
      <c r="F22" s="176" t="s">
        <v>745</v>
      </c>
      <c r="G22" s="50">
        <v>1</v>
      </c>
      <c r="H22" s="51">
        <f>IF(VLOOKUP(J22,'HOURLY RATES'!B$116:C$124,2,0)=0,$J$3,VLOOKUP(J22,'HOURLY RATES'!B$116:C$124,2,0))</f>
        <v>0</v>
      </c>
      <c r="I22" s="52">
        <f t="shared" ref="I22:I31" si="1">(G22*(1+H22))</f>
        <v>1</v>
      </c>
      <c r="J22" s="94" t="s">
        <v>199</v>
      </c>
      <c r="K22" s="55"/>
      <c r="L22" s="59">
        <f t="shared" ref="L22:L31" si="2">K22*I22</f>
        <v>0</v>
      </c>
      <c r="M22" s="57">
        <f>IF(VLOOKUP(E22,'HOURLY RATES'!C$6:D$105,2,0)=0,$E$3,VLOOKUP(E22,'HOURLY RATES'!C$6:D$105,2,0))</f>
        <v>73.944999999999993</v>
      </c>
      <c r="N22" s="57">
        <f t="shared" ref="N22:N31" si="3">M22*L22</f>
        <v>0</v>
      </c>
      <c r="O22" s="60"/>
      <c r="P22" s="60">
        <f t="shared" si="0"/>
        <v>0</v>
      </c>
      <c r="Q22" s="61">
        <f t="shared" ref="Q22:Q62" si="4">P22+N22</f>
        <v>0</v>
      </c>
      <c r="R22" s="142"/>
      <c r="S22" s="108">
        <f t="shared" ref="S22:S31" si="5">((((N22*(1+$D$7))+(P22*(1+$D$5+$D$6)))*(1+$D$8)))/I22</f>
        <v>0</v>
      </c>
      <c r="T22" s="107">
        <f t="shared" ref="T22:T31" si="6">S22*I22</f>
        <v>0</v>
      </c>
    </row>
    <row r="23" spans="1:21" s="7" customFormat="1" x14ac:dyDescent="0.2">
      <c r="A23" s="141">
        <f>IF(J23&lt;&gt;"",1+MAX($A$18:A22),"")</f>
        <v>3</v>
      </c>
      <c r="B23" s="49"/>
      <c r="C23" s="49"/>
      <c r="D23" s="95" t="s">
        <v>27</v>
      </c>
      <c r="E23" s="182" t="s">
        <v>28</v>
      </c>
      <c r="F23" s="176" t="s">
        <v>200</v>
      </c>
      <c r="G23" s="50">
        <v>1</v>
      </c>
      <c r="H23" s="51">
        <f>IF(VLOOKUP(J23,'HOURLY RATES'!B$116:C$124,2,0)=0,$J$3,VLOOKUP(J23,'HOURLY RATES'!B$116:C$124,2,0))</f>
        <v>0</v>
      </c>
      <c r="I23" s="52">
        <f t="shared" si="1"/>
        <v>1</v>
      </c>
      <c r="J23" s="94" t="s">
        <v>199</v>
      </c>
      <c r="K23" s="55"/>
      <c r="L23" s="59">
        <f t="shared" si="2"/>
        <v>0</v>
      </c>
      <c r="M23" s="57">
        <f>IF(VLOOKUP(E23,'HOURLY RATES'!C$6:D$105,2,0)=0,$E$3,VLOOKUP(E23,'HOURLY RATES'!C$6:D$105,2,0))</f>
        <v>73.944999999999993</v>
      </c>
      <c r="N23" s="57">
        <f t="shared" si="3"/>
        <v>0</v>
      </c>
      <c r="O23" s="60"/>
      <c r="P23" s="60">
        <f t="shared" si="0"/>
        <v>0</v>
      </c>
      <c r="Q23" s="61">
        <f t="shared" si="4"/>
        <v>0</v>
      </c>
      <c r="R23" s="142"/>
      <c r="S23" s="108">
        <f t="shared" si="5"/>
        <v>0</v>
      </c>
      <c r="T23" s="107">
        <f t="shared" si="6"/>
        <v>0</v>
      </c>
    </row>
    <row r="24" spans="1:21" s="7" customFormat="1" x14ac:dyDescent="0.2">
      <c r="A24" s="141">
        <f>IF(J24&lt;&gt;"",1+MAX($A$18:A23),"")</f>
        <v>4</v>
      </c>
      <c r="B24" s="49"/>
      <c r="C24" s="49"/>
      <c r="D24" s="95" t="s">
        <v>27</v>
      </c>
      <c r="E24" s="182" t="s">
        <v>28</v>
      </c>
      <c r="F24" s="176" t="s">
        <v>746</v>
      </c>
      <c r="G24" s="50">
        <v>1</v>
      </c>
      <c r="H24" s="51">
        <f>IF(VLOOKUP(J24,'HOURLY RATES'!B$116:C$124,2,0)=0,$J$3,VLOOKUP(J24,'HOURLY RATES'!B$116:C$124,2,0))</f>
        <v>0</v>
      </c>
      <c r="I24" s="52">
        <f t="shared" si="1"/>
        <v>1</v>
      </c>
      <c r="J24" s="94" t="s">
        <v>199</v>
      </c>
      <c r="K24" s="55"/>
      <c r="L24" s="59">
        <f t="shared" si="2"/>
        <v>0</v>
      </c>
      <c r="M24" s="57">
        <f>IF(VLOOKUP(E24,'HOURLY RATES'!C$6:D$105,2,0)=0,$E$3,VLOOKUP(E24,'HOURLY RATES'!C$6:D$105,2,0))</f>
        <v>73.944999999999993</v>
      </c>
      <c r="N24" s="57">
        <f t="shared" si="3"/>
        <v>0</v>
      </c>
      <c r="O24" s="60"/>
      <c r="P24" s="60">
        <f t="shared" si="0"/>
        <v>0</v>
      </c>
      <c r="Q24" s="61">
        <f t="shared" si="4"/>
        <v>0</v>
      </c>
      <c r="R24" s="142"/>
      <c r="S24" s="108">
        <f t="shared" si="5"/>
        <v>0</v>
      </c>
      <c r="T24" s="107">
        <f t="shared" si="6"/>
        <v>0</v>
      </c>
    </row>
    <row r="25" spans="1:21" s="7" customFormat="1" x14ac:dyDescent="0.2">
      <c r="A25" s="141">
        <f>IF(J25&lt;&gt;"",1+MAX($A$18:A24),"")</f>
        <v>5</v>
      </c>
      <c r="B25" s="49"/>
      <c r="C25" s="49"/>
      <c r="D25" s="95" t="s">
        <v>27</v>
      </c>
      <c r="E25" s="182" t="s">
        <v>28</v>
      </c>
      <c r="F25" s="176" t="s">
        <v>747</v>
      </c>
      <c r="G25" s="50">
        <v>1</v>
      </c>
      <c r="H25" s="51">
        <f>IF(VLOOKUP(J25,'HOURLY RATES'!B$116:C$124,2,0)=0,$J$3,VLOOKUP(J25,'HOURLY RATES'!B$116:C$124,2,0))</f>
        <v>0</v>
      </c>
      <c r="I25" s="52">
        <f t="shared" si="1"/>
        <v>1</v>
      </c>
      <c r="J25" s="94" t="s">
        <v>199</v>
      </c>
      <c r="K25" s="55"/>
      <c r="L25" s="59">
        <f t="shared" si="2"/>
        <v>0</v>
      </c>
      <c r="M25" s="57">
        <f>IF(VLOOKUP(E25,'HOURLY RATES'!C$6:D$105,2,0)=0,$E$3,VLOOKUP(E25,'HOURLY RATES'!C$6:D$105,2,0))</f>
        <v>73.944999999999993</v>
      </c>
      <c r="N25" s="57">
        <f t="shared" si="3"/>
        <v>0</v>
      </c>
      <c r="O25" s="60"/>
      <c r="P25" s="60">
        <f t="shared" si="0"/>
        <v>0</v>
      </c>
      <c r="Q25" s="61">
        <f t="shared" si="4"/>
        <v>0</v>
      </c>
      <c r="R25" s="142"/>
      <c r="S25" s="108">
        <f t="shared" si="5"/>
        <v>0</v>
      </c>
      <c r="T25" s="107">
        <f t="shared" si="6"/>
        <v>0</v>
      </c>
    </row>
    <row r="26" spans="1:21" s="7" customFormat="1" x14ac:dyDescent="0.2">
      <c r="A26" s="141">
        <f>IF(J26&lt;&gt;"",1+MAX($A$18:A25),"")</f>
        <v>6</v>
      </c>
      <c r="B26" s="49"/>
      <c r="C26" s="49"/>
      <c r="D26" s="95" t="s">
        <v>27</v>
      </c>
      <c r="E26" s="182" t="s">
        <v>28</v>
      </c>
      <c r="F26" s="176" t="s">
        <v>201</v>
      </c>
      <c r="G26" s="50">
        <v>1</v>
      </c>
      <c r="H26" s="51">
        <f>IF(VLOOKUP(J26,'HOURLY RATES'!B$116:C$124,2,0)=0,$J$3,VLOOKUP(J26,'HOURLY RATES'!B$116:C$124,2,0))</f>
        <v>0</v>
      </c>
      <c r="I26" s="52">
        <f t="shared" si="1"/>
        <v>1</v>
      </c>
      <c r="J26" s="94" t="s">
        <v>199</v>
      </c>
      <c r="K26" s="55"/>
      <c r="L26" s="59">
        <f t="shared" si="2"/>
        <v>0</v>
      </c>
      <c r="M26" s="57">
        <f>IF(VLOOKUP(E26,'HOURLY RATES'!C$6:D$105,2,0)=0,$E$3,VLOOKUP(E26,'HOURLY RATES'!C$6:D$105,2,0))</f>
        <v>73.944999999999993</v>
      </c>
      <c r="N26" s="57">
        <f t="shared" si="3"/>
        <v>0</v>
      </c>
      <c r="O26" s="60"/>
      <c r="P26" s="60">
        <f t="shared" si="0"/>
        <v>0</v>
      </c>
      <c r="Q26" s="61">
        <f t="shared" si="4"/>
        <v>0</v>
      </c>
      <c r="R26" s="142"/>
      <c r="S26" s="108">
        <f t="shared" si="5"/>
        <v>0</v>
      </c>
      <c r="T26" s="107">
        <f t="shared" si="6"/>
        <v>0</v>
      </c>
    </row>
    <row r="27" spans="1:21" s="7" customFormat="1" x14ac:dyDescent="0.2">
      <c r="A27" s="141">
        <f>IF(J27&lt;&gt;"",1+MAX($A$18:A26),"")</f>
        <v>7</v>
      </c>
      <c r="B27" s="49"/>
      <c r="C27" s="49"/>
      <c r="D27" s="95" t="s">
        <v>27</v>
      </c>
      <c r="E27" s="182" t="s">
        <v>28</v>
      </c>
      <c r="F27" s="176" t="s">
        <v>202</v>
      </c>
      <c r="G27" s="50">
        <v>1</v>
      </c>
      <c r="H27" s="51">
        <f>IF(VLOOKUP(J27,'HOURLY RATES'!B$116:C$124,2,0)=0,$J$3,VLOOKUP(J27,'HOURLY RATES'!B$116:C$124,2,0))</f>
        <v>0</v>
      </c>
      <c r="I27" s="52">
        <f t="shared" si="1"/>
        <v>1</v>
      </c>
      <c r="J27" s="94" t="s">
        <v>199</v>
      </c>
      <c r="K27" s="238">
        <f>1%*($U$18)/M27</f>
        <v>21.238869076929813</v>
      </c>
      <c r="L27" s="59">
        <f t="shared" si="2"/>
        <v>21.238869076929813</v>
      </c>
      <c r="M27" s="57">
        <f>IF(VLOOKUP(E27,'HOURLY RATES'!C$6:D$105,2,0)=0,$E$3,VLOOKUP(E27,'HOURLY RATES'!C$6:D$105,2,0))</f>
        <v>73.944999999999993</v>
      </c>
      <c r="N27" s="57">
        <f t="shared" si="3"/>
        <v>1570.5081738935748</v>
      </c>
      <c r="O27" s="60"/>
      <c r="P27" s="60">
        <f t="shared" si="0"/>
        <v>0</v>
      </c>
      <c r="Q27" s="61">
        <f t="shared" si="4"/>
        <v>1570.5081738935748</v>
      </c>
      <c r="R27" s="142"/>
      <c r="S27" s="108">
        <f t="shared" si="5"/>
        <v>1912.8789558023739</v>
      </c>
      <c r="T27" s="107">
        <f t="shared" si="6"/>
        <v>1912.8789558023739</v>
      </c>
    </row>
    <row r="28" spans="1:21" s="7" customFormat="1" x14ac:dyDescent="0.2">
      <c r="A28" s="141">
        <f>IF(J28&lt;&gt;"",1+MAX($A$18:A27),"")</f>
        <v>8</v>
      </c>
      <c r="B28" s="49"/>
      <c r="C28" s="49"/>
      <c r="D28" s="95" t="s">
        <v>27</v>
      </c>
      <c r="E28" s="182" t="s">
        <v>28</v>
      </c>
      <c r="F28" s="176" t="s">
        <v>748</v>
      </c>
      <c r="G28" s="50">
        <v>1</v>
      </c>
      <c r="H28" s="51">
        <f>IF(VLOOKUP(J28,'HOURLY RATES'!B$116:C$124,2,0)=0,$J$3,VLOOKUP(J28,'HOURLY RATES'!B$116:C$124,2,0))</f>
        <v>0</v>
      </c>
      <c r="I28" s="52">
        <f t="shared" si="1"/>
        <v>1</v>
      </c>
      <c r="J28" s="94" t="s">
        <v>199</v>
      </c>
      <c r="K28" s="238"/>
      <c r="L28" s="59">
        <f t="shared" si="2"/>
        <v>0</v>
      </c>
      <c r="M28" s="57">
        <f>IF(VLOOKUP(E28,'HOURLY RATES'!C$6:D$105,2,0)=0,$E$3,VLOOKUP(E28,'HOURLY RATES'!C$6:D$105,2,0))</f>
        <v>73.944999999999993</v>
      </c>
      <c r="N28" s="57">
        <f t="shared" si="3"/>
        <v>0</v>
      </c>
      <c r="O28" s="60"/>
      <c r="P28" s="60">
        <f t="shared" si="0"/>
        <v>0</v>
      </c>
      <c r="Q28" s="61">
        <f t="shared" si="4"/>
        <v>0</v>
      </c>
      <c r="R28" s="142"/>
      <c r="S28" s="108">
        <f t="shared" si="5"/>
        <v>0</v>
      </c>
      <c r="T28" s="107">
        <f t="shared" si="6"/>
        <v>0</v>
      </c>
    </row>
    <row r="29" spans="1:21" s="7" customFormat="1" x14ac:dyDescent="0.2">
      <c r="A29" s="141">
        <f>IF(J29&lt;&gt;"",1+MAX($A$18:A28),"")</f>
        <v>9</v>
      </c>
      <c r="B29" s="49"/>
      <c r="C29" s="49"/>
      <c r="D29" s="95" t="s">
        <v>27</v>
      </c>
      <c r="E29" s="182" t="s">
        <v>28</v>
      </c>
      <c r="F29" s="176" t="s">
        <v>203</v>
      </c>
      <c r="G29" s="50">
        <v>1</v>
      </c>
      <c r="H29" s="51">
        <f>IF(VLOOKUP(J29,'HOURLY RATES'!B$116:C$124,2,0)=0,$J$3,VLOOKUP(J29,'HOURLY RATES'!B$116:C$124,2,0))</f>
        <v>0</v>
      </c>
      <c r="I29" s="52">
        <f t="shared" si="1"/>
        <v>1</v>
      </c>
      <c r="J29" s="94" t="s">
        <v>199</v>
      </c>
      <c r="K29" s="238"/>
      <c r="L29" s="59">
        <f t="shared" si="2"/>
        <v>0</v>
      </c>
      <c r="M29" s="57">
        <f>IF(VLOOKUP(E29,'HOURLY RATES'!C$6:D$105,2,0)=0,$E$3,VLOOKUP(E29,'HOURLY RATES'!C$6:D$105,2,0))</f>
        <v>73.944999999999993</v>
      </c>
      <c r="N29" s="57">
        <f t="shared" si="3"/>
        <v>0</v>
      </c>
      <c r="O29" s="60"/>
      <c r="P29" s="60">
        <f t="shared" si="0"/>
        <v>0</v>
      </c>
      <c r="Q29" s="61">
        <f t="shared" si="4"/>
        <v>0</v>
      </c>
      <c r="R29" s="142"/>
      <c r="S29" s="108">
        <f t="shared" si="5"/>
        <v>0</v>
      </c>
      <c r="T29" s="107">
        <f t="shared" si="6"/>
        <v>0</v>
      </c>
    </row>
    <row r="30" spans="1:21" s="7" customFormat="1" x14ac:dyDescent="0.2">
      <c r="A30" s="141">
        <f>IF(J30&lt;&gt;"",1+MAX($A$18:A29),"")</f>
        <v>10</v>
      </c>
      <c r="B30" s="49"/>
      <c r="C30" s="49"/>
      <c r="D30" s="95" t="s">
        <v>27</v>
      </c>
      <c r="E30" s="182" t="s">
        <v>28</v>
      </c>
      <c r="F30" s="176" t="s">
        <v>204</v>
      </c>
      <c r="G30" s="50">
        <v>1</v>
      </c>
      <c r="H30" s="51">
        <f>IF(VLOOKUP(J30,'HOURLY RATES'!B$116:C$124,2,0)=0,$J$3,VLOOKUP(J30,'HOURLY RATES'!B$116:C$124,2,0))</f>
        <v>0</v>
      </c>
      <c r="I30" s="52">
        <f t="shared" si="1"/>
        <v>1</v>
      </c>
      <c r="J30" s="94" t="s">
        <v>199</v>
      </c>
      <c r="K30" s="238"/>
      <c r="L30" s="59">
        <f t="shared" si="2"/>
        <v>0</v>
      </c>
      <c r="M30" s="57">
        <f>IF(VLOOKUP(E30,'HOURLY RATES'!C$6:D$105,2,0)=0,$E$3,VLOOKUP(E30,'HOURLY RATES'!C$6:D$105,2,0))</f>
        <v>73.944999999999993</v>
      </c>
      <c r="N30" s="57">
        <f t="shared" si="3"/>
        <v>0</v>
      </c>
      <c r="O30" s="60"/>
      <c r="P30" s="60">
        <f t="shared" si="0"/>
        <v>0</v>
      </c>
      <c r="Q30" s="61">
        <f t="shared" si="4"/>
        <v>0</v>
      </c>
      <c r="R30" s="142"/>
      <c r="S30" s="108">
        <f t="shared" si="5"/>
        <v>0</v>
      </c>
      <c r="T30" s="107">
        <f t="shared" si="6"/>
        <v>0</v>
      </c>
    </row>
    <row r="31" spans="1:21" s="7" customFormat="1" x14ac:dyDescent="0.2">
      <c r="A31" s="141">
        <f>IF(J31&lt;&gt;"",1+MAX($A$18:A30),"")</f>
        <v>11</v>
      </c>
      <c r="B31" s="49"/>
      <c r="C31" s="49"/>
      <c r="D31" s="95" t="s">
        <v>27</v>
      </c>
      <c r="E31" s="182" t="s">
        <v>28</v>
      </c>
      <c r="F31" s="176" t="s">
        <v>749</v>
      </c>
      <c r="G31" s="50">
        <v>1</v>
      </c>
      <c r="H31" s="51">
        <f>IF(VLOOKUP(J31,'HOURLY RATES'!B$116:C$124,2,0)=0,$J$3,VLOOKUP(J31,'HOURLY RATES'!B$116:C$124,2,0))</f>
        <v>0</v>
      </c>
      <c r="I31" s="52">
        <f t="shared" si="1"/>
        <v>1</v>
      </c>
      <c r="J31" s="94" t="s">
        <v>199</v>
      </c>
      <c r="K31" s="238"/>
      <c r="L31" s="59">
        <f t="shared" si="2"/>
        <v>0</v>
      </c>
      <c r="M31" s="57">
        <f>IF(VLOOKUP(E31,'HOURLY RATES'!C$6:D$105,2,0)=0,$E$3,VLOOKUP(E31,'HOURLY RATES'!C$6:D$105,2,0))</f>
        <v>73.944999999999993</v>
      </c>
      <c r="N31" s="57">
        <f t="shared" si="3"/>
        <v>0</v>
      </c>
      <c r="O31" s="60"/>
      <c r="P31" s="60">
        <f t="shared" si="0"/>
        <v>0</v>
      </c>
      <c r="Q31" s="61">
        <f t="shared" si="4"/>
        <v>0</v>
      </c>
      <c r="R31" s="142"/>
      <c r="S31" s="108">
        <f t="shared" si="5"/>
        <v>0</v>
      </c>
      <c r="T31" s="107">
        <f t="shared" si="6"/>
        <v>0</v>
      </c>
    </row>
    <row r="32" spans="1:21" s="7" customFormat="1" x14ac:dyDescent="0.2">
      <c r="A32" s="141" t="str">
        <f>IF(J32&lt;&gt;"",1+MAX($A$18:A31),"")</f>
        <v/>
      </c>
      <c r="B32" s="49"/>
      <c r="C32" s="49"/>
      <c r="D32" s="95"/>
      <c r="E32" s="182"/>
      <c r="F32" s="176" t="s">
        <v>223</v>
      </c>
      <c r="G32" s="50"/>
      <c r="H32" s="51"/>
      <c r="I32" s="52"/>
      <c r="J32" s="94"/>
      <c r="K32" s="238"/>
      <c r="L32" s="56"/>
      <c r="M32" s="57"/>
      <c r="N32" s="58"/>
      <c r="O32" s="60"/>
      <c r="P32" s="60"/>
      <c r="Q32" s="61"/>
      <c r="R32" s="140"/>
      <c r="S32" s="108"/>
      <c r="T32" s="107"/>
    </row>
    <row r="33" spans="1:20" s="7" customFormat="1" x14ac:dyDescent="0.2">
      <c r="A33" s="141" t="str">
        <f>IF(J33&lt;&gt;"",1+MAX($A$18:A32),"")</f>
        <v/>
      </c>
      <c r="B33" s="49"/>
      <c r="C33" s="49"/>
      <c r="D33" s="95"/>
      <c r="E33" s="182"/>
      <c r="F33" s="177" t="s">
        <v>54</v>
      </c>
      <c r="G33" s="50"/>
      <c r="H33" s="51"/>
      <c r="I33" s="52"/>
      <c r="J33" s="94"/>
      <c r="K33" s="238"/>
      <c r="L33" s="56"/>
      <c r="M33" s="57"/>
      <c r="N33" s="58"/>
      <c r="O33" s="60"/>
      <c r="P33" s="60"/>
      <c r="Q33" s="61"/>
      <c r="R33" s="140"/>
      <c r="S33" s="108"/>
      <c r="T33" s="107"/>
    </row>
    <row r="34" spans="1:20" s="7" customFormat="1" x14ac:dyDescent="0.2">
      <c r="A34" s="141">
        <f>IF(J34&lt;&gt;"",1+MAX($A$18:A33),"")</f>
        <v>12</v>
      </c>
      <c r="B34" s="49"/>
      <c r="C34" s="49"/>
      <c r="D34" s="95" t="s">
        <v>27</v>
      </c>
      <c r="E34" s="182" t="s">
        <v>28</v>
      </c>
      <c r="F34" s="176" t="s">
        <v>750</v>
      </c>
      <c r="G34" s="50">
        <v>1</v>
      </c>
      <c r="H34" s="51">
        <f>IF(VLOOKUP(J34,'HOURLY RATES'!B$116:C$124,2,0)=0,$J$3,VLOOKUP(J34,'HOURLY RATES'!B$116:C$124,2,0))</f>
        <v>0</v>
      </c>
      <c r="I34" s="52">
        <f>(G34*(1+H34))</f>
        <v>1</v>
      </c>
      <c r="J34" s="94" t="s">
        <v>199</v>
      </c>
      <c r="K34" s="238">
        <f>(0.288%*(U18)/M34)*2</f>
        <v>12.233588588311571</v>
      </c>
      <c r="L34" s="59">
        <f>K34*I34</f>
        <v>12.233588588311571</v>
      </c>
      <c r="M34" s="57">
        <f>IF(VLOOKUP(E34,'HOURLY RATES'!C$6:D$105,2,0)=0,$E$3,VLOOKUP(E34,'HOURLY RATES'!C$6:D$105,2,0))</f>
        <v>73.944999999999993</v>
      </c>
      <c r="N34" s="57">
        <f>M34*L34</f>
        <v>904.61270816269905</v>
      </c>
      <c r="O34" s="60"/>
      <c r="P34" s="60">
        <f t="shared" ref="P34:P36" si="7">O34*I34</f>
        <v>0</v>
      </c>
      <c r="Q34" s="61">
        <f>P34+N34</f>
        <v>904.61270816269905</v>
      </c>
      <c r="R34" s="142"/>
      <c r="S34" s="108">
        <f>((((N34*(1+$D$7))+(P34*(1+$D$5+$D$6)))*(1+$D$8)))/I34</f>
        <v>1101.8182785421673</v>
      </c>
      <c r="T34" s="107">
        <f>S34*I34</f>
        <v>1101.8182785421673</v>
      </c>
    </row>
    <row r="35" spans="1:20" s="7" customFormat="1" x14ac:dyDescent="0.2">
      <c r="A35" s="141">
        <f>IF(J35&lt;&gt;"",1+MAX($A$18:A34),"")</f>
        <v>13</v>
      </c>
      <c r="B35" s="49"/>
      <c r="C35" s="49"/>
      <c r="D35" s="95" t="s">
        <v>27</v>
      </c>
      <c r="E35" s="182" t="s">
        <v>28</v>
      </c>
      <c r="F35" s="176" t="s">
        <v>751</v>
      </c>
      <c r="G35" s="50">
        <v>1</v>
      </c>
      <c r="H35" s="51">
        <f>IF(VLOOKUP(J35,'HOURLY RATES'!B$116:C$124,2,0)=0,$J$3,VLOOKUP(J35,'HOURLY RATES'!B$116:C$124,2,0))</f>
        <v>0</v>
      </c>
      <c r="I35" s="52">
        <f>(G35*(1+H35))</f>
        <v>1</v>
      </c>
      <c r="J35" s="94" t="s">
        <v>199</v>
      </c>
      <c r="K35" s="238"/>
      <c r="L35" s="59">
        <f>K35*I35</f>
        <v>0</v>
      </c>
      <c r="M35" s="57">
        <f>IF(VLOOKUP(E35,'HOURLY RATES'!C$6:D$105,2,0)=0,$E$3,VLOOKUP(E35,'HOURLY RATES'!C$6:D$105,2,0))</f>
        <v>73.944999999999993</v>
      </c>
      <c r="N35" s="57">
        <f>M35*L35</f>
        <v>0</v>
      </c>
      <c r="O35" s="60"/>
      <c r="P35" s="60">
        <f t="shared" si="7"/>
        <v>0</v>
      </c>
      <c r="Q35" s="61">
        <f>P35+N35</f>
        <v>0</v>
      </c>
      <c r="R35" s="142"/>
      <c r="S35" s="108">
        <f>((((N35*(1+$D$7))+(P35*(1+$D$5+$D$6)))*(1+$D$8)))/I35</f>
        <v>0</v>
      </c>
      <c r="T35" s="107">
        <f>S35*I35</f>
        <v>0</v>
      </c>
    </row>
    <row r="36" spans="1:20" s="7" customFormat="1" x14ac:dyDescent="0.2">
      <c r="A36" s="141">
        <f>IF(J36&lt;&gt;"",1+MAX($A$18:A35),"")</f>
        <v>14</v>
      </c>
      <c r="B36" s="49"/>
      <c r="C36" s="49"/>
      <c r="D36" s="95" t="s">
        <v>27</v>
      </c>
      <c r="E36" s="182" t="s">
        <v>28</v>
      </c>
      <c r="F36" s="176" t="s">
        <v>752</v>
      </c>
      <c r="G36" s="50">
        <v>1</v>
      </c>
      <c r="H36" s="51">
        <f>IF(VLOOKUP(J36,'HOURLY RATES'!B$116:C$124,2,0)=0,$J$3,VLOOKUP(J36,'HOURLY RATES'!B$116:C$124,2,0))</f>
        <v>0</v>
      </c>
      <c r="I36" s="52">
        <f>(G36*(1+H36))</f>
        <v>1</v>
      </c>
      <c r="J36" s="94" t="s">
        <v>199</v>
      </c>
      <c r="K36" s="238">
        <f>(0.65%*(U18)/M36)*1.77</f>
        <v>24.435318873007752</v>
      </c>
      <c r="L36" s="59">
        <f>K36*I36</f>
        <v>24.435318873007752</v>
      </c>
      <c r="M36" s="57">
        <f>IF(VLOOKUP(E36,'HOURLY RATES'!C$6:D$105,2,0)=0,$E$3,VLOOKUP(E36,'HOURLY RATES'!C$6:D$105,2,0))</f>
        <v>73.944999999999993</v>
      </c>
      <c r="N36" s="57">
        <f>M36*L36</f>
        <v>1806.8696540645581</v>
      </c>
      <c r="O36" s="60"/>
      <c r="P36" s="60">
        <f t="shared" si="7"/>
        <v>0</v>
      </c>
      <c r="Q36" s="61">
        <f>P36+N36</f>
        <v>1806.8696540645581</v>
      </c>
      <c r="R36" s="142"/>
      <c r="S36" s="108">
        <f>((((N36*(1+$D$7))+(P36*(1+$D$5+$D$6)))*(1+$D$8)))/I36</f>
        <v>2200.767238650631</v>
      </c>
      <c r="T36" s="107">
        <f>S36*I36</f>
        <v>2200.767238650631</v>
      </c>
    </row>
    <row r="37" spans="1:20" s="7" customFormat="1" x14ac:dyDescent="0.2">
      <c r="A37" s="141" t="str">
        <f>IF(J37&lt;&gt;"",1+MAX($A$18:A36),"")</f>
        <v/>
      </c>
      <c r="B37" s="49"/>
      <c r="C37" s="49"/>
      <c r="D37" s="95"/>
      <c r="E37" s="182"/>
      <c r="F37" s="176" t="s">
        <v>223</v>
      </c>
      <c r="G37" s="50"/>
      <c r="H37" s="51"/>
      <c r="I37" s="52"/>
      <c r="J37" s="94"/>
      <c r="K37" s="238"/>
      <c r="L37" s="59"/>
      <c r="M37" s="57"/>
      <c r="N37" s="57"/>
      <c r="O37" s="60"/>
      <c r="P37" s="60"/>
      <c r="Q37" s="61"/>
      <c r="R37" s="140"/>
      <c r="S37" s="108"/>
      <c r="T37" s="107"/>
    </row>
    <row r="38" spans="1:20" s="7" customFormat="1" x14ac:dyDescent="0.2">
      <c r="A38" s="141" t="str">
        <f>IF(J38&lt;&gt;"",1+MAX($A$18:A37),"")</f>
        <v/>
      </c>
      <c r="B38" s="49"/>
      <c r="C38" s="49"/>
      <c r="D38" s="95"/>
      <c r="E38" s="182"/>
      <c r="F38" s="177" t="s">
        <v>753</v>
      </c>
      <c r="G38" s="50"/>
      <c r="H38" s="51"/>
      <c r="I38" s="52"/>
      <c r="J38" s="94"/>
      <c r="K38" s="238"/>
      <c r="L38" s="56"/>
      <c r="M38" s="57"/>
      <c r="N38" s="58"/>
      <c r="O38" s="60"/>
      <c r="P38" s="60"/>
      <c r="Q38" s="61"/>
      <c r="R38" s="140"/>
      <c r="S38" s="108"/>
      <c r="T38" s="107"/>
    </row>
    <row r="39" spans="1:20" s="7" customFormat="1" x14ac:dyDescent="0.2">
      <c r="A39" s="141">
        <f>IF(J39&lt;&gt;"",1+MAX($A$18:A38),"")</f>
        <v>15</v>
      </c>
      <c r="B39" s="49"/>
      <c r="C39" s="49"/>
      <c r="D39" s="95" t="s">
        <v>27</v>
      </c>
      <c r="E39" s="182" t="s">
        <v>28</v>
      </c>
      <c r="F39" s="176" t="s">
        <v>205</v>
      </c>
      <c r="G39" s="50">
        <v>1</v>
      </c>
      <c r="H39" s="51">
        <f>IF(VLOOKUP(J39,'HOURLY RATES'!B$116:C$124,2,0)=0,$J$3,VLOOKUP(J39,'HOURLY RATES'!B$116:C$124,2,0))</f>
        <v>0</v>
      </c>
      <c r="I39" s="52">
        <f t="shared" ref="I39:I44" si="8">(G39*(1+H39))</f>
        <v>1</v>
      </c>
      <c r="J39" s="94" t="s">
        <v>199</v>
      </c>
      <c r="K39" s="238"/>
      <c r="L39" s="59">
        <f t="shared" ref="L39:L44" si="9">K39*I39</f>
        <v>0</v>
      </c>
      <c r="M39" s="57">
        <f>IF(VLOOKUP(E39,'HOURLY RATES'!C$6:D$105,2,0)=0,$E$3,VLOOKUP(E39,'HOURLY RATES'!C$6:D$105,2,0))</f>
        <v>73.944999999999993</v>
      </c>
      <c r="N39" s="57">
        <f t="shared" ref="N39:N44" si="10">M39*L39</f>
        <v>0</v>
      </c>
      <c r="O39" s="60"/>
      <c r="P39" s="60">
        <f t="shared" ref="P39:P44" si="11">O39*I39</f>
        <v>0</v>
      </c>
      <c r="Q39" s="61">
        <f t="shared" si="4"/>
        <v>0</v>
      </c>
      <c r="R39" s="142"/>
      <c r="S39" s="108">
        <f t="shared" ref="S39:S44" si="12">((((N39*(1+$D$7))+(P39*(1+$D$5+$D$6)))*(1+$D$8)))/I39</f>
        <v>0</v>
      </c>
      <c r="T39" s="107">
        <f t="shared" ref="T39:T44" si="13">S39*I39</f>
        <v>0</v>
      </c>
    </row>
    <row r="40" spans="1:20" s="7" customFormat="1" x14ac:dyDescent="0.2">
      <c r="A40" s="141">
        <f>IF(J40&lt;&gt;"",1+MAX($A$18:A39),"")</f>
        <v>16</v>
      </c>
      <c r="B40" s="49"/>
      <c r="C40" s="49"/>
      <c r="D40" s="95" t="s">
        <v>27</v>
      </c>
      <c r="E40" s="182" t="s">
        <v>28</v>
      </c>
      <c r="F40" s="176" t="s">
        <v>206</v>
      </c>
      <c r="G40" s="50">
        <v>1</v>
      </c>
      <c r="H40" s="51">
        <f>IF(VLOOKUP(J40,'HOURLY RATES'!B$116:C$124,2,0)=0,$J$3,VLOOKUP(J40,'HOURLY RATES'!B$116:C$124,2,0))</f>
        <v>0</v>
      </c>
      <c r="I40" s="52">
        <f t="shared" si="8"/>
        <v>1</v>
      </c>
      <c r="J40" s="94" t="s">
        <v>199</v>
      </c>
      <c r="K40" s="238"/>
      <c r="L40" s="59">
        <f t="shared" si="9"/>
        <v>0</v>
      </c>
      <c r="M40" s="57">
        <f>IF(VLOOKUP(E40,'HOURLY RATES'!C$6:D$105,2,0)=0,$E$3,VLOOKUP(E40,'HOURLY RATES'!C$6:D$105,2,0))</f>
        <v>73.944999999999993</v>
      </c>
      <c r="N40" s="57">
        <f t="shared" si="10"/>
        <v>0</v>
      </c>
      <c r="O40" s="60"/>
      <c r="P40" s="60">
        <f t="shared" si="11"/>
        <v>0</v>
      </c>
      <c r="Q40" s="61">
        <f t="shared" si="4"/>
        <v>0</v>
      </c>
      <c r="R40" s="142"/>
      <c r="S40" s="108">
        <f t="shared" si="12"/>
        <v>0</v>
      </c>
      <c r="T40" s="107">
        <f t="shared" si="13"/>
        <v>0</v>
      </c>
    </row>
    <row r="41" spans="1:20" s="7" customFormat="1" x14ac:dyDescent="0.2">
      <c r="A41" s="141">
        <f>IF(J41&lt;&gt;"",1+MAX($A$18:A40),"")</f>
        <v>17</v>
      </c>
      <c r="B41" s="49"/>
      <c r="C41" s="49"/>
      <c r="D41" s="95" t="s">
        <v>27</v>
      </c>
      <c r="E41" s="182" t="s">
        <v>28</v>
      </c>
      <c r="F41" s="176" t="s">
        <v>207</v>
      </c>
      <c r="G41" s="50">
        <v>1</v>
      </c>
      <c r="H41" s="51">
        <f>IF(VLOOKUP(J41,'HOURLY RATES'!B$116:C$124,2,0)=0,$J$3,VLOOKUP(J41,'HOURLY RATES'!B$116:C$124,2,0))</f>
        <v>0</v>
      </c>
      <c r="I41" s="52">
        <f t="shared" si="8"/>
        <v>1</v>
      </c>
      <c r="J41" s="94" t="s">
        <v>199</v>
      </c>
      <c r="K41" s="238"/>
      <c r="L41" s="59">
        <f t="shared" si="9"/>
        <v>0</v>
      </c>
      <c r="M41" s="57">
        <f>IF(VLOOKUP(E41,'HOURLY RATES'!C$6:D$105,2,0)=0,$E$3,VLOOKUP(E41,'HOURLY RATES'!C$6:D$105,2,0))</f>
        <v>73.944999999999993</v>
      </c>
      <c r="N41" s="57">
        <f t="shared" si="10"/>
        <v>0</v>
      </c>
      <c r="O41" s="60"/>
      <c r="P41" s="60">
        <f t="shared" si="11"/>
        <v>0</v>
      </c>
      <c r="Q41" s="61">
        <f t="shared" si="4"/>
        <v>0</v>
      </c>
      <c r="R41" s="142"/>
      <c r="S41" s="108">
        <f t="shared" si="12"/>
        <v>0</v>
      </c>
      <c r="T41" s="107">
        <f t="shared" si="13"/>
        <v>0</v>
      </c>
    </row>
    <row r="42" spans="1:20" s="7" customFormat="1" x14ac:dyDescent="0.2">
      <c r="A42" s="141">
        <f>IF(J42&lt;&gt;"",1+MAX($A$18:A41),"")</f>
        <v>18</v>
      </c>
      <c r="B42" s="49"/>
      <c r="C42" s="49"/>
      <c r="D42" s="95" t="s">
        <v>27</v>
      </c>
      <c r="E42" s="182" t="s">
        <v>28</v>
      </c>
      <c r="F42" s="176" t="s">
        <v>208</v>
      </c>
      <c r="G42" s="50">
        <v>1</v>
      </c>
      <c r="H42" s="51">
        <f>IF(VLOOKUP(J42,'HOURLY RATES'!B$116:C$124,2,0)=0,$J$3,VLOOKUP(J42,'HOURLY RATES'!B$116:C$124,2,0))</f>
        <v>0</v>
      </c>
      <c r="I42" s="52">
        <f t="shared" si="8"/>
        <v>1</v>
      </c>
      <c r="J42" s="94" t="s">
        <v>199</v>
      </c>
      <c r="K42" s="238"/>
      <c r="L42" s="59">
        <f t="shared" si="9"/>
        <v>0</v>
      </c>
      <c r="M42" s="57">
        <f>IF(VLOOKUP(E42,'HOURLY RATES'!C$6:D$105,2,0)=0,$E$3,VLOOKUP(E42,'HOURLY RATES'!C$6:D$105,2,0))</f>
        <v>73.944999999999993</v>
      </c>
      <c r="N42" s="57">
        <f t="shared" si="10"/>
        <v>0</v>
      </c>
      <c r="O42" s="60"/>
      <c r="P42" s="60">
        <f t="shared" si="11"/>
        <v>0</v>
      </c>
      <c r="Q42" s="61">
        <f t="shared" si="4"/>
        <v>0</v>
      </c>
      <c r="R42" s="142"/>
      <c r="S42" s="108">
        <f t="shared" si="12"/>
        <v>0</v>
      </c>
      <c r="T42" s="107">
        <f t="shared" si="13"/>
        <v>0</v>
      </c>
    </row>
    <row r="43" spans="1:20" s="7" customFormat="1" x14ac:dyDescent="0.2">
      <c r="A43" s="141">
        <f>IF(J43&lt;&gt;"",1+MAX($A$18:A42),"")</f>
        <v>19</v>
      </c>
      <c r="B43" s="49"/>
      <c r="C43" s="49"/>
      <c r="D43" s="95" t="s">
        <v>27</v>
      </c>
      <c r="E43" s="182" t="s">
        <v>28</v>
      </c>
      <c r="F43" s="176" t="s">
        <v>209</v>
      </c>
      <c r="G43" s="50">
        <v>1</v>
      </c>
      <c r="H43" s="51">
        <f>IF(VLOOKUP(J43,'HOURLY RATES'!B$116:C$124,2,0)=0,$J$3,VLOOKUP(J43,'HOURLY RATES'!B$116:C$124,2,0))</f>
        <v>0</v>
      </c>
      <c r="I43" s="52">
        <f t="shared" si="8"/>
        <v>1</v>
      </c>
      <c r="J43" s="94" t="s">
        <v>199</v>
      </c>
      <c r="K43" s="238"/>
      <c r="L43" s="59">
        <f t="shared" si="9"/>
        <v>0</v>
      </c>
      <c r="M43" s="57">
        <f>IF(VLOOKUP(E43,'HOURLY RATES'!C$6:D$105,2,0)=0,$E$3,VLOOKUP(E43,'HOURLY RATES'!C$6:D$105,2,0))</f>
        <v>73.944999999999993</v>
      </c>
      <c r="N43" s="57">
        <f t="shared" si="10"/>
        <v>0</v>
      </c>
      <c r="O43" s="60"/>
      <c r="P43" s="60">
        <f t="shared" si="11"/>
        <v>0</v>
      </c>
      <c r="Q43" s="61">
        <f t="shared" si="4"/>
        <v>0</v>
      </c>
      <c r="R43" s="142"/>
      <c r="S43" s="108">
        <f t="shared" si="12"/>
        <v>0</v>
      </c>
      <c r="T43" s="107">
        <f t="shared" si="13"/>
        <v>0</v>
      </c>
    </row>
    <row r="44" spans="1:20" s="7" customFormat="1" x14ac:dyDescent="0.2">
      <c r="A44" s="141">
        <f>IF(J44&lt;&gt;"",1+MAX($A$18:A43),"")</f>
        <v>20</v>
      </c>
      <c r="B44" s="49"/>
      <c r="C44" s="49"/>
      <c r="D44" s="95" t="s">
        <v>27</v>
      </c>
      <c r="E44" s="182" t="s">
        <v>28</v>
      </c>
      <c r="F44" s="176" t="s">
        <v>210</v>
      </c>
      <c r="G44" s="50">
        <v>1</v>
      </c>
      <c r="H44" s="51">
        <f>IF(VLOOKUP(J44,'HOURLY RATES'!B$116:C$124,2,0)=0,$J$3,VLOOKUP(J44,'HOURLY RATES'!B$116:C$124,2,0))</f>
        <v>0</v>
      </c>
      <c r="I44" s="52">
        <f t="shared" si="8"/>
        <v>1</v>
      </c>
      <c r="J44" s="94" t="s">
        <v>199</v>
      </c>
      <c r="K44" s="238">
        <f>2.2%*($U$18)/M44</f>
        <v>46.725511969245595</v>
      </c>
      <c r="L44" s="59">
        <f t="shared" si="9"/>
        <v>46.725511969245595</v>
      </c>
      <c r="M44" s="57">
        <f>IF(VLOOKUP(E44,'HOURLY RATES'!C$6:D$105,2,0)=0,$E$3,VLOOKUP(E44,'HOURLY RATES'!C$6:D$105,2,0))</f>
        <v>73.944999999999993</v>
      </c>
      <c r="N44" s="57">
        <f t="shared" si="10"/>
        <v>3455.1179825658651</v>
      </c>
      <c r="O44" s="60"/>
      <c r="P44" s="60">
        <f t="shared" si="11"/>
        <v>0</v>
      </c>
      <c r="Q44" s="61">
        <f t="shared" si="4"/>
        <v>3455.1179825658651</v>
      </c>
      <c r="R44" s="142"/>
      <c r="S44" s="108">
        <f t="shared" si="12"/>
        <v>4208.3337027652233</v>
      </c>
      <c r="T44" s="107">
        <f t="shared" si="13"/>
        <v>4208.3337027652233</v>
      </c>
    </row>
    <row r="45" spans="1:20" s="7" customFormat="1" x14ac:dyDescent="0.2">
      <c r="A45" s="141" t="str">
        <f>IF(J45&lt;&gt;"",1+MAX($A$18:A44),"")</f>
        <v/>
      </c>
      <c r="B45" s="49"/>
      <c r="C45" s="49"/>
      <c r="D45" s="95"/>
      <c r="E45" s="182"/>
      <c r="F45" s="176" t="s">
        <v>223</v>
      </c>
      <c r="G45" s="50"/>
      <c r="H45" s="51"/>
      <c r="I45" s="52"/>
      <c r="J45" s="94"/>
      <c r="K45" s="238"/>
      <c r="L45" s="56"/>
      <c r="M45" s="57"/>
      <c r="N45" s="57"/>
      <c r="O45" s="60"/>
      <c r="P45" s="60"/>
      <c r="Q45" s="61"/>
      <c r="R45" s="140"/>
      <c r="S45" s="108"/>
      <c r="T45" s="107"/>
    </row>
    <row r="46" spans="1:20" s="7" customFormat="1" x14ac:dyDescent="0.2">
      <c r="A46" s="141" t="str">
        <f>IF(J46&lt;&gt;"",1+MAX($A$18:A45),"")</f>
        <v/>
      </c>
      <c r="B46" s="49"/>
      <c r="C46" s="49"/>
      <c r="D46" s="95"/>
      <c r="E46" s="182"/>
      <c r="F46" s="177" t="s">
        <v>754</v>
      </c>
      <c r="G46" s="50"/>
      <c r="H46" s="51"/>
      <c r="I46" s="52"/>
      <c r="J46" s="94"/>
      <c r="K46" s="238"/>
      <c r="L46" s="56"/>
      <c r="M46" s="57"/>
      <c r="N46" s="57"/>
      <c r="O46" s="60"/>
      <c r="P46" s="60"/>
      <c r="Q46" s="61"/>
      <c r="R46" s="140"/>
      <c r="S46" s="108"/>
      <c r="T46" s="107"/>
    </row>
    <row r="47" spans="1:20" s="7" customFormat="1" x14ac:dyDescent="0.2">
      <c r="A47" s="141">
        <f>IF(J47&lt;&gt;"",1+MAX($A$18:A46),"")</f>
        <v>21</v>
      </c>
      <c r="B47" s="49"/>
      <c r="C47" s="49"/>
      <c r="D47" s="95" t="s">
        <v>27</v>
      </c>
      <c r="E47" s="182" t="s">
        <v>28</v>
      </c>
      <c r="F47" s="176" t="s">
        <v>211</v>
      </c>
      <c r="G47" s="50">
        <v>1</v>
      </c>
      <c r="H47" s="51">
        <f>IF(VLOOKUP(J47,'HOURLY RATES'!B$116:C$124,2,0)=0,$J$3,VLOOKUP(J47,'HOURLY RATES'!B$116:C$124,2,0))</f>
        <v>0</v>
      </c>
      <c r="I47" s="52">
        <f>(G47*(1+H47))</f>
        <v>1</v>
      </c>
      <c r="J47" s="94" t="s">
        <v>199</v>
      </c>
      <c r="K47" s="238"/>
      <c r="L47" s="59">
        <f>K47*I47</f>
        <v>0</v>
      </c>
      <c r="M47" s="57">
        <f>IF(VLOOKUP(E47,'HOURLY RATES'!C$6:D$105,2,0)=0,$E$3,VLOOKUP(E47,'HOURLY RATES'!C$6:D$105,2,0))</f>
        <v>73.944999999999993</v>
      </c>
      <c r="N47" s="57">
        <f>M47*L47</f>
        <v>0</v>
      </c>
      <c r="O47" s="60"/>
      <c r="P47" s="60">
        <f t="shared" ref="P47:P51" si="14">O47*I47</f>
        <v>0</v>
      </c>
      <c r="Q47" s="61">
        <f t="shared" si="4"/>
        <v>0</v>
      </c>
      <c r="R47" s="142"/>
      <c r="S47" s="108">
        <f>((((N47*(1+$D$7))+(P47*(1+$D$5+$D$6)))*(1+$D$8)))/I47</f>
        <v>0</v>
      </c>
      <c r="T47" s="107">
        <f>S47*I47</f>
        <v>0</v>
      </c>
    </row>
    <row r="48" spans="1:20" s="7" customFormat="1" x14ac:dyDescent="0.2">
      <c r="A48" s="141">
        <f>IF(J48&lt;&gt;"",1+MAX($A$18:A47),"")</f>
        <v>22</v>
      </c>
      <c r="B48" s="49"/>
      <c r="C48" s="49"/>
      <c r="D48" s="95" t="s">
        <v>27</v>
      </c>
      <c r="E48" s="182" t="s">
        <v>28</v>
      </c>
      <c r="F48" s="176" t="s">
        <v>212</v>
      </c>
      <c r="G48" s="50">
        <v>1</v>
      </c>
      <c r="H48" s="51">
        <f>IF(VLOOKUP(J48,'HOURLY RATES'!B$116:C$124,2,0)=0,$J$3,VLOOKUP(J48,'HOURLY RATES'!B$116:C$124,2,0))</f>
        <v>0</v>
      </c>
      <c r="I48" s="52">
        <f>(G48*(1+H48))</f>
        <v>1</v>
      </c>
      <c r="J48" s="94" t="s">
        <v>199</v>
      </c>
      <c r="K48" s="238"/>
      <c r="L48" s="59">
        <f>K48*I48</f>
        <v>0</v>
      </c>
      <c r="M48" s="57">
        <f>IF(VLOOKUP(E48,'HOURLY RATES'!C$6:D$105,2,0)=0,$E$3,VLOOKUP(E48,'HOURLY RATES'!C$6:D$105,2,0))</f>
        <v>73.944999999999993</v>
      </c>
      <c r="N48" s="57">
        <f>M48*L48</f>
        <v>0</v>
      </c>
      <c r="O48" s="60"/>
      <c r="P48" s="60">
        <f t="shared" si="14"/>
        <v>0</v>
      </c>
      <c r="Q48" s="61">
        <f t="shared" si="4"/>
        <v>0</v>
      </c>
      <c r="R48" s="142"/>
      <c r="S48" s="108">
        <f>((((N48*(1+$D$7))+(P48*(1+$D$5+$D$6)))*(1+$D$8)))/I48</f>
        <v>0</v>
      </c>
      <c r="T48" s="107">
        <f>S48*I48</f>
        <v>0</v>
      </c>
    </row>
    <row r="49" spans="1:20" s="7" customFormat="1" x14ac:dyDescent="0.2">
      <c r="A49" s="141">
        <f>IF(J49&lt;&gt;"",1+MAX($A$18:A48),"")</f>
        <v>23</v>
      </c>
      <c r="B49" s="49"/>
      <c r="C49" s="49"/>
      <c r="D49" s="95" t="s">
        <v>27</v>
      </c>
      <c r="E49" s="182" t="s">
        <v>28</v>
      </c>
      <c r="F49" s="176" t="s">
        <v>213</v>
      </c>
      <c r="G49" s="50">
        <v>1</v>
      </c>
      <c r="H49" s="51">
        <f>IF(VLOOKUP(J49,'HOURLY RATES'!B$116:C$124,2,0)=0,$J$3,VLOOKUP(J49,'HOURLY RATES'!B$116:C$124,2,0))</f>
        <v>0</v>
      </c>
      <c r="I49" s="52">
        <f>(G49*(1+H49))</f>
        <v>1</v>
      </c>
      <c r="J49" s="94" t="s">
        <v>199</v>
      </c>
      <c r="K49" s="238"/>
      <c r="L49" s="59">
        <f>K49*I49</f>
        <v>0</v>
      </c>
      <c r="M49" s="57">
        <f>IF(VLOOKUP(E49,'HOURLY RATES'!C$6:D$105,2,0)=0,$E$3,VLOOKUP(E49,'HOURLY RATES'!C$6:D$105,2,0))</f>
        <v>73.944999999999993</v>
      </c>
      <c r="N49" s="57">
        <f>M49*L49</f>
        <v>0</v>
      </c>
      <c r="O49" s="60"/>
      <c r="P49" s="60">
        <f t="shared" si="14"/>
        <v>0</v>
      </c>
      <c r="Q49" s="61">
        <f t="shared" si="4"/>
        <v>0</v>
      </c>
      <c r="R49" s="142"/>
      <c r="S49" s="108">
        <f>((((N49*(1+$D$7))+(P49*(1+$D$5+$D$6)))*(1+$D$8)))/I49</f>
        <v>0</v>
      </c>
      <c r="T49" s="107">
        <f>S49*I49</f>
        <v>0</v>
      </c>
    </row>
    <row r="50" spans="1:20" s="7" customFormat="1" x14ac:dyDescent="0.2">
      <c r="A50" s="141">
        <f>IF(J50&lt;&gt;"",1+MAX($A$18:A49),"")</f>
        <v>24</v>
      </c>
      <c r="B50" s="49"/>
      <c r="C50" s="49"/>
      <c r="D50" s="95" t="s">
        <v>27</v>
      </c>
      <c r="E50" s="182" t="s">
        <v>28</v>
      </c>
      <c r="F50" s="176" t="s">
        <v>755</v>
      </c>
      <c r="G50" s="50">
        <v>1</v>
      </c>
      <c r="H50" s="51">
        <f>IF(VLOOKUP(J50,'HOURLY RATES'!B$116:C$124,2,0)=0,$J$3,VLOOKUP(J50,'HOURLY RATES'!B$116:C$124,2,0))</f>
        <v>0</v>
      </c>
      <c r="I50" s="52">
        <f>(G50*(1+H50))</f>
        <v>1</v>
      </c>
      <c r="J50" s="94" t="s">
        <v>199</v>
      </c>
      <c r="K50" s="238"/>
      <c r="L50" s="59">
        <f>K50*I50</f>
        <v>0</v>
      </c>
      <c r="M50" s="57">
        <f>IF(VLOOKUP(E50,'HOURLY RATES'!C$6:D$105,2,0)=0,$E$3,VLOOKUP(E50,'HOURLY RATES'!C$6:D$105,2,0))</f>
        <v>73.944999999999993</v>
      </c>
      <c r="N50" s="57">
        <f>M50*L50</f>
        <v>0</v>
      </c>
      <c r="O50" s="60"/>
      <c r="P50" s="60">
        <f t="shared" si="14"/>
        <v>0</v>
      </c>
      <c r="Q50" s="61">
        <f t="shared" si="4"/>
        <v>0</v>
      </c>
      <c r="R50" s="142"/>
      <c r="S50" s="108">
        <f>((((N50*(1+$D$7))+(P50*(1+$D$5+$D$6)))*(1+$D$8)))/I50</f>
        <v>0</v>
      </c>
      <c r="T50" s="107">
        <f>S50*I50</f>
        <v>0</v>
      </c>
    </row>
    <row r="51" spans="1:20" s="7" customFormat="1" x14ac:dyDescent="0.2">
      <c r="A51" s="141">
        <f>IF(J51&lt;&gt;"",1+MAX($A$18:A50),"")</f>
        <v>25</v>
      </c>
      <c r="B51" s="49"/>
      <c r="C51" s="49"/>
      <c r="D51" s="95" t="s">
        <v>27</v>
      </c>
      <c r="E51" s="182" t="s">
        <v>28</v>
      </c>
      <c r="F51" s="176" t="s">
        <v>214</v>
      </c>
      <c r="G51" s="50">
        <v>1</v>
      </c>
      <c r="H51" s="51">
        <f>IF(VLOOKUP(J51,'HOURLY RATES'!B$116:C$124,2,0)=0,$J$3,VLOOKUP(J51,'HOURLY RATES'!B$116:C$124,2,0))</f>
        <v>0</v>
      </c>
      <c r="I51" s="52">
        <f>(G51*(1+H51))</f>
        <v>1</v>
      </c>
      <c r="J51" s="94" t="s">
        <v>199</v>
      </c>
      <c r="K51" s="238"/>
      <c r="L51" s="59">
        <f>K51*I51</f>
        <v>0</v>
      </c>
      <c r="M51" s="57">
        <f>IF(VLOOKUP(E51,'HOURLY RATES'!C$6:D$105,2,0)=0,$E$3,VLOOKUP(E51,'HOURLY RATES'!C$6:D$105,2,0))</f>
        <v>73.944999999999993</v>
      </c>
      <c r="N51" s="57">
        <f>M51*L51</f>
        <v>0</v>
      </c>
      <c r="O51" s="60"/>
      <c r="P51" s="60">
        <f t="shared" si="14"/>
        <v>0</v>
      </c>
      <c r="Q51" s="61">
        <f t="shared" si="4"/>
        <v>0</v>
      </c>
      <c r="R51" s="142"/>
      <c r="S51" s="108">
        <f>((((N51*(1+$D$7))+(P51*(1+$D$5+$D$6)))*(1+$D$8)))/I51</f>
        <v>0</v>
      </c>
      <c r="T51" s="107">
        <f>S51*I51</f>
        <v>0</v>
      </c>
    </row>
    <row r="52" spans="1:20" s="7" customFormat="1" x14ac:dyDescent="0.2">
      <c r="A52" s="141" t="str">
        <f>IF(J52&lt;&gt;"",1+MAX($A$18:A51),"")</f>
        <v/>
      </c>
      <c r="B52" s="49"/>
      <c r="C52" s="49"/>
      <c r="D52" s="95"/>
      <c r="E52" s="182"/>
      <c r="F52" s="176" t="s">
        <v>223</v>
      </c>
      <c r="G52" s="50"/>
      <c r="H52" s="51"/>
      <c r="I52" s="52"/>
      <c r="J52" s="94"/>
      <c r="K52" s="238"/>
      <c r="L52" s="56"/>
      <c r="M52" s="57"/>
      <c r="N52" s="57"/>
      <c r="O52" s="60"/>
      <c r="P52" s="60"/>
      <c r="Q52" s="61"/>
      <c r="R52" s="140"/>
      <c r="S52" s="108"/>
      <c r="T52" s="107"/>
    </row>
    <row r="53" spans="1:20" s="7" customFormat="1" x14ac:dyDescent="0.2">
      <c r="A53" s="141" t="str">
        <f>IF(J53&lt;&gt;"",1+MAX($A$18:A52),"")</f>
        <v/>
      </c>
      <c r="B53" s="49"/>
      <c r="C53" s="49"/>
      <c r="D53" s="95"/>
      <c r="E53" s="182"/>
      <c r="F53" s="177" t="s">
        <v>756</v>
      </c>
      <c r="G53" s="50"/>
      <c r="H53" s="51"/>
      <c r="I53" s="52"/>
      <c r="J53" s="94"/>
      <c r="K53" s="238"/>
      <c r="L53" s="56"/>
      <c r="M53" s="57"/>
      <c r="N53" s="57"/>
      <c r="O53" s="60"/>
      <c r="P53" s="60"/>
      <c r="Q53" s="61"/>
      <c r="R53" s="140"/>
      <c r="S53" s="108"/>
      <c r="T53" s="107"/>
    </row>
    <row r="54" spans="1:20" s="7" customFormat="1" x14ac:dyDescent="0.2">
      <c r="A54" s="141">
        <f>IF(J54&lt;&gt;"",1+MAX($A$18:A53),"")</f>
        <v>26</v>
      </c>
      <c r="B54" s="49"/>
      <c r="C54" s="62"/>
      <c r="D54" s="95" t="s">
        <v>27</v>
      </c>
      <c r="E54" s="182" t="s">
        <v>28</v>
      </c>
      <c r="F54" s="176" t="s">
        <v>215</v>
      </c>
      <c r="G54" s="50">
        <v>1</v>
      </c>
      <c r="H54" s="51">
        <f>IF(VLOOKUP(J54,'HOURLY RATES'!B$116:C$124,2,0)=0,$J$3,VLOOKUP(J54,'HOURLY RATES'!B$116:C$124,2,0))</f>
        <v>0</v>
      </c>
      <c r="I54" s="52">
        <f>(G54*(1+H54))</f>
        <v>1</v>
      </c>
      <c r="J54" s="94" t="s">
        <v>199</v>
      </c>
      <c r="K54" s="238"/>
      <c r="L54" s="59">
        <f>K54*I54</f>
        <v>0</v>
      </c>
      <c r="M54" s="57">
        <f>IF(VLOOKUP(E54,'HOURLY RATES'!C$6:D$105,2,0)=0,$E$3,VLOOKUP(E54,'HOURLY RATES'!C$6:D$105,2,0))</f>
        <v>73.944999999999993</v>
      </c>
      <c r="N54" s="57">
        <f>M54*L54</f>
        <v>0</v>
      </c>
      <c r="O54" s="60"/>
      <c r="P54" s="60">
        <f t="shared" ref="P54:P57" si="15">O54*I54</f>
        <v>0</v>
      </c>
      <c r="Q54" s="61">
        <f t="shared" si="4"/>
        <v>0</v>
      </c>
      <c r="R54" s="142"/>
      <c r="S54" s="108">
        <f>((((N54*(1+$D$7))+(P54*(1+$D$5+$D$6)))*(1+$D$8)))/I54</f>
        <v>0</v>
      </c>
      <c r="T54" s="107">
        <f>S54*I54</f>
        <v>0</v>
      </c>
    </row>
    <row r="55" spans="1:20" s="7" customFormat="1" x14ac:dyDescent="0.2">
      <c r="A55" s="141">
        <f>IF(J55&lt;&gt;"",1+MAX($A$18:A54),"")</f>
        <v>27</v>
      </c>
      <c r="B55" s="49"/>
      <c r="C55" s="62"/>
      <c r="D55" s="95" t="s">
        <v>27</v>
      </c>
      <c r="E55" s="182" t="s">
        <v>28</v>
      </c>
      <c r="F55" s="176" t="s">
        <v>216</v>
      </c>
      <c r="G55" s="50">
        <v>1</v>
      </c>
      <c r="H55" s="51">
        <f>IF(VLOOKUP(J55,'HOURLY RATES'!B$116:C$124,2,0)=0,$J$3,VLOOKUP(J55,'HOURLY RATES'!B$116:C$124,2,0))</f>
        <v>0</v>
      </c>
      <c r="I55" s="52">
        <f>(G55*(1+H55))</f>
        <v>1</v>
      </c>
      <c r="J55" s="94" t="s">
        <v>199</v>
      </c>
      <c r="K55" s="238"/>
      <c r="L55" s="59">
        <f>K55*I55</f>
        <v>0</v>
      </c>
      <c r="M55" s="57">
        <f>IF(VLOOKUP(E55,'HOURLY RATES'!C$6:D$105,2,0)=0,$E$3,VLOOKUP(E55,'HOURLY RATES'!C$6:D$105,2,0))</f>
        <v>73.944999999999993</v>
      </c>
      <c r="N55" s="57">
        <f>M55*L55</f>
        <v>0</v>
      </c>
      <c r="O55" s="60"/>
      <c r="P55" s="60">
        <f t="shared" si="15"/>
        <v>0</v>
      </c>
      <c r="Q55" s="61">
        <f t="shared" si="4"/>
        <v>0</v>
      </c>
      <c r="R55" s="142"/>
      <c r="S55" s="108">
        <f>((((N55*(1+$D$7))+(P55*(1+$D$5+$D$6)))*(1+$D$8)))/I55</f>
        <v>0</v>
      </c>
      <c r="T55" s="107">
        <f>S55*I55</f>
        <v>0</v>
      </c>
    </row>
    <row r="56" spans="1:20" s="7" customFormat="1" x14ac:dyDescent="0.2">
      <c r="A56" s="141">
        <f>IF(J56&lt;&gt;"",1+MAX($A$18:A55),"")</f>
        <v>28</v>
      </c>
      <c r="B56" s="49"/>
      <c r="C56" s="62"/>
      <c r="D56" s="95" t="s">
        <v>27</v>
      </c>
      <c r="E56" s="182" t="s">
        <v>28</v>
      </c>
      <c r="F56" s="176" t="s">
        <v>757</v>
      </c>
      <c r="G56" s="50">
        <v>1</v>
      </c>
      <c r="H56" s="51">
        <f>IF(VLOOKUP(J56,'HOURLY RATES'!B$116:C$124,2,0)=0,$J$3,VLOOKUP(J56,'HOURLY RATES'!B$116:C$124,2,0))</f>
        <v>0</v>
      </c>
      <c r="I56" s="52">
        <f>(G56*(1+H56))</f>
        <v>1</v>
      </c>
      <c r="J56" s="94" t="s">
        <v>199</v>
      </c>
      <c r="K56" s="238"/>
      <c r="L56" s="59">
        <f>K56*I56</f>
        <v>0</v>
      </c>
      <c r="M56" s="57">
        <f>IF(VLOOKUP(E56,'HOURLY RATES'!C$6:D$105,2,0)=0,$E$3,VLOOKUP(E56,'HOURLY RATES'!C$6:D$105,2,0))</f>
        <v>73.944999999999993</v>
      </c>
      <c r="N56" s="57">
        <f>M56*L56</f>
        <v>0</v>
      </c>
      <c r="O56" s="60"/>
      <c r="P56" s="60">
        <f t="shared" si="15"/>
        <v>0</v>
      </c>
      <c r="Q56" s="61">
        <f t="shared" si="4"/>
        <v>0</v>
      </c>
      <c r="R56" s="142"/>
      <c r="S56" s="108">
        <f>((((N56*(1+$D$7))+(P56*(1+$D$5+$D$6)))*(1+$D$8)))/I56</f>
        <v>0</v>
      </c>
      <c r="T56" s="107">
        <f>S56*I56</f>
        <v>0</v>
      </c>
    </row>
    <row r="57" spans="1:20" s="7" customFormat="1" x14ac:dyDescent="0.2">
      <c r="A57" s="141">
        <f>IF(J57&lt;&gt;"",1+MAX($A$18:A56),"")</f>
        <v>29</v>
      </c>
      <c r="B57" s="49"/>
      <c r="C57" s="62"/>
      <c r="D57" s="95" t="s">
        <v>27</v>
      </c>
      <c r="E57" s="182" t="s">
        <v>28</v>
      </c>
      <c r="F57" s="176" t="s">
        <v>217</v>
      </c>
      <c r="G57" s="50">
        <v>1</v>
      </c>
      <c r="H57" s="51">
        <f>IF(VLOOKUP(J57,'HOURLY RATES'!B$116:C$124,2,0)=0,$J$3,VLOOKUP(J57,'HOURLY RATES'!B$116:C$124,2,0))</f>
        <v>0</v>
      </c>
      <c r="I57" s="52">
        <f>(G57*(1+H57))</f>
        <v>1</v>
      </c>
      <c r="J57" s="94" t="s">
        <v>199</v>
      </c>
      <c r="K57" s="238"/>
      <c r="L57" s="59">
        <f>K57*I57</f>
        <v>0</v>
      </c>
      <c r="M57" s="57">
        <f>IF(VLOOKUP(E57,'HOURLY RATES'!C$6:D$105,2,0)=0,$E$3,VLOOKUP(E57,'HOURLY RATES'!C$6:D$105,2,0))</f>
        <v>73.944999999999993</v>
      </c>
      <c r="N57" s="57">
        <f>M57*L57</f>
        <v>0</v>
      </c>
      <c r="O57" s="60"/>
      <c r="P57" s="60">
        <f t="shared" si="15"/>
        <v>0</v>
      </c>
      <c r="Q57" s="61">
        <f t="shared" si="4"/>
        <v>0</v>
      </c>
      <c r="R57" s="142"/>
      <c r="S57" s="108">
        <f>((((N57*(1+$D$7))+(P57*(1+$D$5+$D$6)))*(1+$D$8)))/I57</f>
        <v>0</v>
      </c>
      <c r="T57" s="107">
        <f>S57*I57</f>
        <v>0</v>
      </c>
    </row>
    <row r="58" spans="1:20" s="7" customFormat="1" x14ac:dyDescent="0.2">
      <c r="A58" s="141" t="str">
        <f>IF(J58&lt;&gt;"",1+MAX($A$18:A57),"")</f>
        <v/>
      </c>
      <c r="B58" s="49"/>
      <c r="C58" s="62"/>
      <c r="D58" s="95"/>
      <c r="E58" s="182"/>
      <c r="F58" s="176" t="s">
        <v>223</v>
      </c>
      <c r="G58" s="50"/>
      <c r="H58" s="51"/>
      <c r="I58" s="52"/>
      <c r="J58" s="94"/>
      <c r="K58" s="238"/>
      <c r="L58" s="56"/>
      <c r="M58" s="57"/>
      <c r="N58" s="57"/>
      <c r="O58" s="60"/>
      <c r="P58" s="60"/>
      <c r="Q58" s="61"/>
      <c r="R58" s="140"/>
      <c r="S58" s="108"/>
      <c r="T58" s="107"/>
    </row>
    <row r="59" spans="1:20" s="7" customFormat="1" x14ac:dyDescent="0.2">
      <c r="A59" s="141" t="str">
        <f>IF(J59&lt;&gt;"",1+MAX($A$18:A58),"")</f>
        <v/>
      </c>
      <c r="B59" s="49"/>
      <c r="C59" s="62"/>
      <c r="D59" s="95"/>
      <c r="E59" s="182"/>
      <c r="F59" s="177" t="s">
        <v>218</v>
      </c>
      <c r="G59" s="50"/>
      <c r="H59" s="51"/>
      <c r="I59" s="52"/>
      <c r="J59" s="94"/>
      <c r="K59" s="238"/>
      <c r="L59" s="56"/>
      <c r="M59" s="57"/>
      <c r="N59" s="57"/>
      <c r="O59" s="60"/>
      <c r="P59" s="60"/>
      <c r="Q59" s="61"/>
      <c r="R59" s="140"/>
      <c r="S59" s="108"/>
      <c r="T59" s="107"/>
    </row>
    <row r="60" spans="1:20" s="7" customFormat="1" x14ac:dyDescent="0.2">
      <c r="A60" s="141">
        <f>IF(J60&lt;&gt;"",1+MAX($A$18:A59),"")</f>
        <v>30</v>
      </c>
      <c r="B60" s="49"/>
      <c r="C60" s="62"/>
      <c r="D60" s="95" t="s">
        <v>27</v>
      </c>
      <c r="E60" s="182" t="s">
        <v>28</v>
      </c>
      <c r="F60" s="176" t="s">
        <v>219</v>
      </c>
      <c r="G60" s="50">
        <v>1</v>
      </c>
      <c r="H60" s="51">
        <f>IF(VLOOKUP(J60,'HOURLY RATES'!B$116:C$124,2,0)=0,$J$3,VLOOKUP(J60,'HOURLY RATES'!B$116:C$124,2,0))</f>
        <v>0</v>
      </c>
      <c r="I60" s="52">
        <f>(G60*(1+H60))</f>
        <v>1</v>
      </c>
      <c r="J60" s="94" t="s">
        <v>199</v>
      </c>
      <c r="K60" s="238"/>
      <c r="L60" s="59">
        <f>K60*I60</f>
        <v>0</v>
      </c>
      <c r="M60" s="57">
        <f>IF(VLOOKUP(E60,'HOURLY RATES'!C$6:D$105,2,0)=0,$E$3,VLOOKUP(E60,'HOURLY RATES'!C$6:D$105,2,0))</f>
        <v>73.944999999999993</v>
      </c>
      <c r="N60" s="57">
        <f>M60*L60</f>
        <v>0</v>
      </c>
      <c r="O60" s="60"/>
      <c r="P60" s="60">
        <f t="shared" ref="P60:P62" si="16">O60*I60</f>
        <v>0</v>
      </c>
      <c r="Q60" s="61">
        <f t="shared" si="4"/>
        <v>0</v>
      </c>
      <c r="R60" s="142"/>
      <c r="S60" s="108">
        <f>((((N60*(1+$D$7))+(P60*(1+$D$5+$D$6)))*(1+$D$8)))/I60</f>
        <v>0</v>
      </c>
      <c r="T60" s="107">
        <f>S60*I60</f>
        <v>0</v>
      </c>
    </row>
    <row r="61" spans="1:20" s="7" customFormat="1" x14ac:dyDescent="0.2">
      <c r="A61" s="141">
        <f>IF(J61&lt;&gt;"",1+MAX($A$18:A60),"")</f>
        <v>31</v>
      </c>
      <c r="B61" s="49"/>
      <c r="C61" s="62"/>
      <c r="D61" s="95" t="s">
        <v>27</v>
      </c>
      <c r="E61" s="182" t="s">
        <v>28</v>
      </c>
      <c r="F61" s="176" t="s">
        <v>220</v>
      </c>
      <c r="G61" s="50">
        <v>1</v>
      </c>
      <c r="H61" s="51">
        <f>IF(VLOOKUP(J61,'HOURLY RATES'!B$116:C$124,2,0)=0,$J$3,VLOOKUP(J61,'HOURLY RATES'!B$116:C$124,2,0))</f>
        <v>0</v>
      </c>
      <c r="I61" s="52">
        <f>(G61*(1+H61))</f>
        <v>1</v>
      </c>
      <c r="J61" s="94" t="s">
        <v>199</v>
      </c>
      <c r="K61" s="238"/>
      <c r="L61" s="59">
        <f>K61*I61</f>
        <v>0</v>
      </c>
      <c r="M61" s="57">
        <f>IF(VLOOKUP(E61,'HOURLY RATES'!C$6:D$105,2,0)=0,$E$3,VLOOKUP(E61,'HOURLY RATES'!C$6:D$105,2,0))</f>
        <v>73.944999999999993</v>
      </c>
      <c r="N61" s="57">
        <f>M61*L61</f>
        <v>0</v>
      </c>
      <c r="O61" s="60"/>
      <c r="P61" s="60">
        <f t="shared" si="16"/>
        <v>0</v>
      </c>
      <c r="Q61" s="61">
        <f t="shared" si="4"/>
        <v>0</v>
      </c>
      <c r="R61" s="142"/>
      <c r="S61" s="108">
        <f>((((N61*(1+$D$7))+(P61*(1+$D$5+$D$6)))*(1+$D$8)))/I61</f>
        <v>0</v>
      </c>
      <c r="T61" s="107">
        <f>S61*I61</f>
        <v>0</v>
      </c>
    </row>
    <row r="62" spans="1:20" s="7" customFormat="1" x14ac:dyDescent="0.2">
      <c r="A62" s="141">
        <f>IF(J62&lt;&gt;"",1+MAX($A$18:A61),"")</f>
        <v>32</v>
      </c>
      <c r="B62" s="49"/>
      <c r="C62" s="62"/>
      <c r="D62" s="95" t="s">
        <v>27</v>
      </c>
      <c r="E62" s="182" t="s">
        <v>28</v>
      </c>
      <c r="F62" s="176" t="s">
        <v>221</v>
      </c>
      <c r="G62" s="50">
        <v>1</v>
      </c>
      <c r="H62" s="51">
        <f>IF(VLOOKUP(J62,'HOURLY RATES'!B$116:C$124,2,0)=0,$J$3,VLOOKUP(J62,'HOURLY RATES'!B$116:C$124,2,0))</f>
        <v>0</v>
      </c>
      <c r="I62" s="52">
        <f>(G62*(1+H62))</f>
        <v>1</v>
      </c>
      <c r="J62" s="94" t="s">
        <v>199</v>
      </c>
      <c r="K62" s="238"/>
      <c r="L62" s="59">
        <f>K62*I62</f>
        <v>0</v>
      </c>
      <c r="M62" s="57">
        <f>IF(VLOOKUP(E62,'HOURLY RATES'!C$6:D$105,2,0)=0,$E$3,VLOOKUP(E62,'HOURLY RATES'!C$6:D$105,2,0))</f>
        <v>73.944999999999993</v>
      </c>
      <c r="N62" s="57">
        <f>M62*L62</f>
        <v>0</v>
      </c>
      <c r="O62" s="60"/>
      <c r="P62" s="60">
        <f t="shared" si="16"/>
        <v>0</v>
      </c>
      <c r="Q62" s="61">
        <f t="shared" si="4"/>
        <v>0</v>
      </c>
      <c r="R62" s="142"/>
      <c r="S62" s="108">
        <f>((((N62*(1+$D$7))+(P62*(1+$D$5+$D$6)))*(1+$D$8)))/I62</f>
        <v>0</v>
      </c>
      <c r="T62" s="107">
        <f>S62*I62</f>
        <v>0</v>
      </c>
    </row>
    <row r="63" spans="1:20" s="7" customFormat="1" x14ac:dyDescent="0.2">
      <c r="A63" s="141" t="str">
        <f>IF(J63&lt;&gt;"",1+MAX($A$18:A62),"")</f>
        <v/>
      </c>
      <c r="B63" s="49"/>
      <c r="C63" s="62"/>
      <c r="D63" s="95"/>
      <c r="E63" s="182"/>
      <c r="F63" s="176" t="s">
        <v>223</v>
      </c>
      <c r="G63" s="50"/>
      <c r="H63" s="51"/>
      <c r="I63" s="52"/>
      <c r="J63" s="94"/>
      <c r="K63" s="238"/>
      <c r="L63" s="56"/>
      <c r="M63" s="57"/>
      <c r="N63" s="57"/>
      <c r="O63" s="60"/>
      <c r="P63" s="60"/>
      <c r="Q63" s="61"/>
      <c r="R63" s="140"/>
      <c r="S63" s="108"/>
      <c r="T63" s="107"/>
    </row>
    <row r="64" spans="1:20" s="7" customFormat="1" x14ac:dyDescent="0.2">
      <c r="A64" s="141" t="str">
        <f>IF(J64&lt;&gt;"",1+MAX($A$18:A63),"")</f>
        <v/>
      </c>
      <c r="B64" s="49"/>
      <c r="C64" s="62"/>
      <c r="D64" s="95"/>
      <c r="E64" s="182"/>
      <c r="F64" s="177" t="s">
        <v>222</v>
      </c>
      <c r="G64" s="50"/>
      <c r="H64" s="51"/>
      <c r="I64" s="52"/>
      <c r="J64" s="94"/>
      <c r="K64" s="238"/>
      <c r="L64" s="59"/>
      <c r="M64" s="57"/>
      <c r="N64" s="57"/>
      <c r="O64" s="60"/>
      <c r="P64" s="60"/>
      <c r="Q64" s="61"/>
      <c r="R64" s="140"/>
      <c r="S64" s="108"/>
      <c r="T64" s="107"/>
    </row>
    <row r="65" spans="1:20" s="7" customFormat="1" x14ac:dyDescent="0.2">
      <c r="A65" s="141">
        <f>IF(J65&lt;&gt;"",1+MAX($A$18:A64),"")</f>
        <v>33</v>
      </c>
      <c r="B65" s="49"/>
      <c r="C65" s="62"/>
      <c r="D65" s="95" t="s">
        <v>27</v>
      </c>
      <c r="E65" s="182" t="s">
        <v>28</v>
      </c>
      <c r="F65" s="176" t="s">
        <v>222</v>
      </c>
      <c r="G65" s="50">
        <v>1</v>
      </c>
      <c r="H65" s="51">
        <f>IF(VLOOKUP(J65,'HOURLY RATES'!B$116:C$124,2,0)=0,$J$3,VLOOKUP(J65,'HOURLY RATES'!B$116:C$124,2,0))</f>
        <v>0</v>
      </c>
      <c r="I65" s="52">
        <f>(G65*(1+H65))</f>
        <v>1</v>
      </c>
      <c r="J65" s="94" t="s">
        <v>199</v>
      </c>
      <c r="K65" s="238">
        <f>2.6%*($U$18)/M65</f>
        <v>55.221059600017519</v>
      </c>
      <c r="L65" s="59">
        <f>K65*I65</f>
        <v>55.221059600017519</v>
      </c>
      <c r="M65" s="57">
        <f>IF(VLOOKUP(E65,'HOURLY RATES'!C$6:D$105,2,0)=0,$E$3,VLOOKUP(E65,'HOURLY RATES'!C$6:D$105,2,0))</f>
        <v>73.944999999999993</v>
      </c>
      <c r="N65" s="57">
        <f>M65*L65</f>
        <v>4083.3212521232949</v>
      </c>
      <c r="O65" s="60"/>
      <c r="P65" s="60">
        <f>O65*I65</f>
        <v>0</v>
      </c>
      <c r="Q65" s="61">
        <f>P65+N65</f>
        <v>4083.3212521232949</v>
      </c>
      <c r="R65" s="142"/>
      <c r="S65" s="108">
        <f>((((N65*(1+$D$7))+(P65*(1+$D$5+$D$6)))*(1+$D$8)))/I65</f>
        <v>4973.4852850861726</v>
      </c>
      <c r="T65" s="107">
        <f>S65*I65</f>
        <v>4973.4852850861726</v>
      </c>
    </row>
    <row r="66" spans="1:20" s="7" customFormat="1" x14ac:dyDescent="0.2">
      <c r="A66" s="141" t="str">
        <f>IF(J66&lt;&gt;"",1+MAX($A$18:A65),"")</f>
        <v/>
      </c>
      <c r="B66" s="49"/>
      <c r="C66" s="62"/>
      <c r="D66" s="95"/>
      <c r="E66" s="182"/>
      <c r="F66" s="176" t="s">
        <v>223</v>
      </c>
      <c r="G66" s="50"/>
      <c r="H66" s="51"/>
      <c r="I66" s="52"/>
      <c r="J66" s="94"/>
      <c r="K66" s="238"/>
      <c r="L66" s="59"/>
      <c r="M66" s="57"/>
      <c r="N66" s="57"/>
      <c r="O66" s="60"/>
      <c r="P66" s="60"/>
      <c r="Q66" s="61"/>
      <c r="R66" s="142"/>
      <c r="S66" s="108"/>
      <c r="T66" s="107"/>
    </row>
    <row r="67" spans="1:20" s="7" customFormat="1" x14ac:dyDescent="0.2">
      <c r="A67" s="256" t="str">
        <f>IF(J67&lt;&gt;"",1+MAX($A$18:A66),"")</f>
        <v/>
      </c>
      <c r="B67" s="256"/>
      <c r="C67" s="256"/>
      <c r="D67" s="256" t="s">
        <v>29</v>
      </c>
      <c r="E67" s="257"/>
      <c r="F67" s="258" t="s">
        <v>839</v>
      </c>
      <c r="G67" s="259"/>
      <c r="H67" s="258"/>
      <c r="I67" s="260"/>
      <c r="J67" s="260"/>
      <c r="K67" s="258"/>
      <c r="L67" s="258"/>
      <c r="M67" s="258"/>
      <c r="N67" s="258"/>
      <c r="O67" s="258"/>
      <c r="P67" s="258"/>
      <c r="Q67" s="258"/>
      <c r="R67" s="261">
        <f>SUM(Q69:Q73)</f>
        <v>1080</v>
      </c>
      <c r="S67" s="108"/>
      <c r="T67" s="107"/>
    </row>
    <row r="68" spans="1:20" s="7" customFormat="1" x14ac:dyDescent="0.2">
      <c r="A68" s="222" t="str">
        <f>IF(J68&lt;&gt;"",1+MAX($A$18:A67),"")</f>
        <v/>
      </c>
      <c r="B68" s="97"/>
      <c r="C68" s="101"/>
      <c r="D68" s="95"/>
      <c r="E68" s="183"/>
      <c r="F68" s="120" t="s">
        <v>223</v>
      </c>
      <c r="G68" s="96"/>
      <c r="H68" s="99"/>
      <c r="I68" s="100"/>
      <c r="J68" s="94"/>
      <c r="K68" s="239"/>
      <c r="L68" s="240"/>
      <c r="M68" s="241"/>
      <c r="N68" s="241"/>
      <c r="O68" s="242"/>
      <c r="P68" s="242"/>
      <c r="Q68" s="243"/>
      <c r="R68" s="109"/>
      <c r="S68" s="108"/>
      <c r="T68" s="107"/>
    </row>
    <row r="69" spans="1:20" s="7" customFormat="1" x14ac:dyDescent="0.2">
      <c r="A69" s="222" t="str">
        <f>IF(J69&lt;&gt;"",1+MAX($A$18:A68),"")</f>
        <v/>
      </c>
      <c r="B69" s="97"/>
      <c r="C69" s="101"/>
      <c r="D69" s="95"/>
      <c r="E69" s="183"/>
      <c r="F69" s="178" t="s">
        <v>840</v>
      </c>
      <c r="G69" s="96"/>
      <c r="H69" s="99"/>
      <c r="I69" s="100"/>
      <c r="J69" s="94"/>
      <c r="K69" s="239"/>
      <c r="L69" s="240"/>
      <c r="M69" s="241"/>
      <c r="N69" s="241"/>
      <c r="O69" s="242"/>
      <c r="P69" s="242"/>
      <c r="Q69" s="243"/>
      <c r="R69" s="109"/>
      <c r="S69" s="108"/>
      <c r="T69" s="107"/>
    </row>
    <row r="70" spans="1:20" s="7" customFormat="1" x14ac:dyDescent="0.2">
      <c r="A70" s="222" t="str">
        <f>IF(J70&lt;&gt;"",1+MAX($A$18:A69),"")</f>
        <v/>
      </c>
      <c r="B70" s="97"/>
      <c r="C70" s="101"/>
      <c r="D70" s="95"/>
      <c r="E70" s="183"/>
      <c r="F70" s="119" t="s">
        <v>841</v>
      </c>
      <c r="G70" s="96"/>
      <c r="H70" s="99"/>
      <c r="I70" s="100"/>
      <c r="J70" s="94"/>
      <c r="K70" s="239"/>
      <c r="L70" s="240"/>
      <c r="M70" s="241"/>
      <c r="N70" s="241"/>
      <c r="O70" s="242"/>
      <c r="P70" s="242"/>
      <c r="Q70" s="243"/>
      <c r="R70" s="109"/>
      <c r="S70" s="108"/>
      <c r="T70" s="107"/>
    </row>
    <row r="71" spans="1:20" s="7" customFormat="1" x14ac:dyDescent="0.2">
      <c r="A71" s="141">
        <f>IF(J71&lt;&gt;"",1+MAX($A$18:A70),"")</f>
        <v>34</v>
      </c>
      <c r="B71" s="49"/>
      <c r="C71" s="62"/>
      <c r="D71" s="95" t="s">
        <v>29</v>
      </c>
      <c r="E71" s="182" t="s">
        <v>76</v>
      </c>
      <c r="F71" s="176" t="s">
        <v>842</v>
      </c>
      <c r="G71" s="50">
        <v>3</v>
      </c>
      <c r="H71" s="51">
        <v>0</v>
      </c>
      <c r="I71" s="52">
        <f t="shared" ref="I71:I73" si="17">(G71*(1+H71))</f>
        <v>3</v>
      </c>
      <c r="J71" s="94" t="s">
        <v>226</v>
      </c>
      <c r="K71" s="238">
        <v>2</v>
      </c>
      <c r="L71" s="59">
        <f t="shared" ref="L71:L73" si="18">K71*I71</f>
        <v>6</v>
      </c>
      <c r="M71" s="57">
        <f>IF(VLOOKUP(E71,'HOURLY RATES'!C$6:D$105,2,0)=0,$E$3,VLOOKUP(E71,'HOURLY RATES'!C$6:D$105,2,0))</f>
        <v>54</v>
      </c>
      <c r="N71" s="57">
        <f t="shared" ref="N71:N73" si="19">M71*L71</f>
        <v>324</v>
      </c>
      <c r="O71" s="60"/>
      <c r="P71" s="60">
        <f>O71*I71</f>
        <v>0</v>
      </c>
      <c r="Q71" s="61">
        <f t="shared" ref="Q71:Q73" si="20">P71+N71</f>
        <v>324</v>
      </c>
      <c r="R71" s="142"/>
      <c r="S71" s="108">
        <f t="shared" ref="S71:S73" si="21">((((N71*(1+$D$7))+(P71*(1+$D$5+$D$6)))*(1+$D$8)))/I71</f>
        <v>131.54399999999998</v>
      </c>
      <c r="T71" s="107">
        <f t="shared" ref="T71:T73" si="22">S71*I71</f>
        <v>394.63199999999995</v>
      </c>
    </row>
    <row r="72" spans="1:20" s="7" customFormat="1" x14ac:dyDescent="0.2">
      <c r="A72" s="141">
        <f>IF(J72&lt;&gt;"",1+MAX($A$18:A71),"")</f>
        <v>35</v>
      </c>
      <c r="B72" s="49"/>
      <c r="C72" s="62"/>
      <c r="D72" s="95" t="s">
        <v>29</v>
      </c>
      <c r="E72" s="182" t="s">
        <v>76</v>
      </c>
      <c r="F72" s="176" t="s">
        <v>843</v>
      </c>
      <c r="G72" s="50">
        <v>10</v>
      </c>
      <c r="H72" s="51">
        <v>0</v>
      </c>
      <c r="I72" s="52">
        <f t="shared" si="17"/>
        <v>10</v>
      </c>
      <c r="J72" s="94" t="s">
        <v>226</v>
      </c>
      <c r="K72" s="238">
        <v>1.3</v>
      </c>
      <c r="L72" s="59">
        <f t="shared" si="18"/>
        <v>13</v>
      </c>
      <c r="M72" s="57">
        <f>IF(VLOOKUP(E72,'HOURLY RATES'!C$6:D$105,2,0)=0,$E$3,VLOOKUP(E72,'HOURLY RATES'!C$6:D$105,2,0))</f>
        <v>54</v>
      </c>
      <c r="N72" s="57">
        <f t="shared" si="19"/>
        <v>702</v>
      </c>
      <c r="O72" s="60"/>
      <c r="P72" s="60">
        <f t="shared" ref="P72:P73" si="23">O72*I72</f>
        <v>0</v>
      </c>
      <c r="Q72" s="61">
        <f t="shared" si="20"/>
        <v>702</v>
      </c>
      <c r="R72" s="142"/>
      <c r="S72" s="108">
        <f t="shared" si="21"/>
        <v>85.503599999999992</v>
      </c>
      <c r="T72" s="107">
        <f t="shared" si="22"/>
        <v>855.03599999999994</v>
      </c>
    </row>
    <row r="73" spans="1:20" s="7" customFormat="1" x14ac:dyDescent="0.2">
      <c r="A73" s="141">
        <f>IF(J73&lt;&gt;"",1+MAX($A$18:A72),"")</f>
        <v>36</v>
      </c>
      <c r="B73" s="49"/>
      <c r="C73" s="62"/>
      <c r="D73" s="95" t="s">
        <v>29</v>
      </c>
      <c r="E73" s="182" t="s">
        <v>76</v>
      </c>
      <c r="F73" s="176" t="s">
        <v>844</v>
      </c>
      <c r="G73" s="50">
        <v>4</v>
      </c>
      <c r="H73" s="51">
        <v>0</v>
      </c>
      <c r="I73" s="52">
        <f t="shared" si="17"/>
        <v>4</v>
      </c>
      <c r="J73" s="94" t="s">
        <v>225</v>
      </c>
      <c r="K73" s="238">
        <v>0.25</v>
      </c>
      <c r="L73" s="59">
        <f t="shared" si="18"/>
        <v>1</v>
      </c>
      <c r="M73" s="57">
        <f>IF(VLOOKUP(E73,'HOURLY RATES'!C$6:D$105,2,0)=0,$E$3,VLOOKUP(E73,'HOURLY RATES'!C$6:D$105,2,0))</f>
        <v>54</v>
      </c>
      <c r="N73" s="57">
        <f t="shared" si="19"/>
        <v>54</v>
      </c>
      <c r="O73" s="60"/>
      <c r="P73" s="60">
        <f t="shared" si="23"/>
        <v>0</v>
      </c>
      <c r="Q73" s="61">
        <f t="shared" si="20"/>
        <v>54</v>
      </c>
      <c r="R73" s="142"/>
      <c r="S73" s="108">
        <f t="shared" si="21"/>
        <v>16.442999999999998</v>
      </c>
      <c r="T73" s="107">
        <f t="shared" si="22"/>
        <v>65.771999999999991</v>
      </c>
    </row>
    <row r="74" spans="1:20" s="7" customFormat="1" x14ac:dyDescent="0.2">
      <c r="A74" s="141" t="str">
        <f>IF(J74&lt;&gt;"",1+MAX($A$18:A73),"")</f>
        <v/>
      </c>
      <c r="B74" s="49"/>
      <c r="C74" s="62"/>
      <c r="D74" s="95"/>
      <c r="E74" s="182"/>
      <c r="F74" s="176" t="s">
        <v>223</v>
      </c>
      <c r="G74" s="50"/>
      <c r="H74" s="51"/>
      <c r="I74" s="52"/>
      <c r="J74" s="94"/>
      <c r="K74" s="238"/>
      <c r="L74" s="59"/>
      <c r="M74" s="57"/>
      <c r="N74" s="57"/>
      <c r="O74" s="60"/>
      <c r="P74" s="60"/>
      <c r="Q74" s="61"/>
      <c r="R74" s="142"/>
      <c r="S74" s="108"/>
      <c r="T74" s="107"/>
    </row>
    <row r="75" spans="1:20" s="7" customFormat="1" x14ac:dyDescent="0.2">
      <c r="A75" s="256" t="str">
        <f>IF(J75&lt;&gt;"",1+MAX($A$18:A74),"")</f>
        <v/>
      </c>
      <c r="B75" s="256"/>
      <c r="C75" s="256"/>
      <c r="D75" s="256" t="s">
        <v>48</v>
      </c>
      <c r="E75" s="257"/>
      <c r="F75" s="258" t="s">
        <v>49</v>
      </c>
      <c r="G75" s="259"/>
      <c r="H75" s="258"/>
      <c r="I75" s="260"/>
      <c r="J75" s="260"/>
      <c r="K75" s="258"/>
      <c r="L75" s="258"/>
      <c r="M75" s="258"/>
      <c r="N75" s="258"/>
      <c r="O75" s="258"/>
      <c r="P75" s="258"/>
      <c r="Q75" s="258"/>
      <c r="R75" s="261">
        <f>SUM(Q78:Q245)</f>
        <v>121676.69341034246</v>
      </c>
      <c r="S75" s="108"/>
      <c r="T75" s="107"/>
    </row>
    <row r="76" spans="1:20" s="7" customFormat="1" x14ac:dyDescent="0.2">
      <c r="A76" s="141" t="str">
        <f>IF(J76&lt;&gt;"",1+MAX($A$18:A75),"")</f>
        <v/>
      </c>
      <c r="B76" s="97"/>
      <c r="C76" s="101"/>
      <c r="D76" s="95"/>
      <c r="E76" s="183"/>
      <c r="F76" s="120" t="s">
        <v>223</v>
      </c>
      <c r="G76" s="96"/>
      <c r="H76" s="99"/>
      <c r="I76" s="100"/>
      <c r="J76" s="94"/>
      <c r="K76" s="239"/>
      <c r="L76" s="240"/>
      <c r="M76" s="241"/>
      <c r="N76" s="241"/>
      <c r="O76" s="242"/>
      <c r="P76" s="242"/>
      <c r="Q76" s="243"/>
      <c r="R76" s="109"/>
      <c r="S76" s="108"/>
      <c r="T76" s="107"/>
    </row>
    <row r="77" spans="1:20" s="7" customFormat="1" x14ac:dyDescent="0.2">
      <c r="A77" s="141" t="str">
        <f>IF(J77&lt;&gt;"",1+MAX($A$18:A76),"")</f>
        <v/>
      </c>
      <c r="B77" s="97"/>
      <c r="C77" s="101"/>
      <c r="D77" s="95"/>
      <c r="E77" s="183"/>
      <c r="F77" s="216" t="s">
        <v>853</v>
      </c>
      <c r="G77" s="96"/>
      <c r="H77" s="99"/>
      <c r="I77" s="100"/>
      <c r="J77" s="94"/>
      <c r="K77" s="239"/>
      <c r="L77" s="240"/>
      <c r="M77" s="241"/>
      <c r="N77" s="241"/>
      <c r="O77" s="242"/>
      <c r="P77" s="242"/>
      <c r="Q77" s="243"/>
      <c r="R77" s="109"/>
      <c r="S77" s="108"/>
      <c r="T77" s="107"/>
    </row>
    <row r="78" spans="1:20" s="7" customFormat="1" x14ac:dyDescent="0.2">
      <c r="A78" s="141" t="str">
        <f>IF(J78&lt;&gt;"",1+MAX($A$18:A77),"")</f>
        <v/>
      </c>
      <c r="B78" s="97"/>
      <c r="C78" s="101"/>
      <c r="D78" s="95"/>
      <c r="E78" s="183"/>
      <c r="F78" s="178" t="s">
        <v>718</v>
      </c>
      <c r="G78" s="96"/>
      <c r="H78" s="99"/>
      <c r="I78" s="100"/>
      <c r="J78" s="94"/>
      <c r="K78" s="239"/>
      <c r="L78" s="240"/>
      <c r="M78" s="241"/>
      <c r="N78" s="241"/>
      <c r="O78" s="242"/>
      <c r="P78" s="242"/>
      <c r="Q78" s="243"/>
      <c r="R78" s="109"/>
      <c r="S78" s="108"/>
      <c r="T78" s="107"/>
    </row>
    <row r="79" spans="1:20" s="7" customFormat="1" x14ac:dyDescent="0.2">
      <c r="A79" s="141" t="str">
        <f>IF(J79&lt;&gt;"",1+MAX($A$18:A78),"")</f>
        <v/>
      </c>
      <c r="B79" s="97"/>
      <c r="C79" s="101"/>
      <c r="D79" s="95"/>
      <c r="E79" s="183"/>
      <c r="F79" s="119" t="s">
        <v>718</v>
      </c>
      <c r="G79" s="96"/>
      <c r="H79" s="99"/>
      <c r="I79" s="100"/>
      <c r="J79" s="94"/>
      <c r="K79" s="239"/>
      <c r="L79" s="240"/>
      <c r="M79" s="241"/>
      <c r="N79" s="241"/>
      <c r="O79" s="242"/>
      <c r="P79" s="242"/>
      <c r="Q79" s="243"/>
      <c r="R79" s="109"/>
      <c r="S79" s="108"/>
      <c r="T79" s="107"/>
    </row>
    <row r="80" spans="1:20" s="7" customFormat="1" ht="63" x14ac:dyDescent="0.2">
      <c r="A80" s="141">
        <f>IF(J80&lt;&gt;"",1+MAX($A$18:A79),"")</f>
        <v>37</v>
      </c>
      <c r="B80" s="49" t="s">
        <v>817</v>
      </c>
      <c r="C80" s="62" t="s">
        <v>817</v>
      </c>
      <c r="D80" s="95" t="s">
        <v>48</v>
      </c>
      <c r="E80" s="182" t="s">
        <v>82</v>
      </c>
      <c r="F80" s="176" t="s">
        <v>854</v>
      </c>
      <c r="G80" s="50">
        <v>4</v>
      </c>
      <c r="H80" s="51">
        <f>IF(VLOOKUP(J80,'HOURLY RATES'!B$116:C$124,2,0)=0,$J$3,VLOOKUP(J80,'HOURLY RATES'!B$116:C$124,2,0))</f>
        <v>0</v>
      </c>
      <c r="I80" s="52">
        <f t="shared" ref="I80:I81" si="24">(G80*(1+H80))</f>
        <v>4</v>
      </c>
      <c r="J80" s="94" t="s">
        <v>226</v>
      </c>
      <c r="K80" s="238">
        <v>6</v>
      </c>
      <c r="L80" s="59">
        <f t="shared" ref="L80:L81" si="25">K80*I80</f>
        <v>24</v>
      </c>
      <c r="M80" s="57">
        <f>IF(VLOOKUP(E80,'HOURLY RATES'!C$6:D$105,2,0)=0,$E$3,VLOOKUP(E80,'HOURLY RATES'!C$6:D$105,2,0))</f>
        <v>73.944999999999993</v>
      </c>
      <c r="N80" s="57">
        <f t="shared" ref="N80:N81" si="26">M80*L80</f>
        <v>1774.6799999999998</v>
      </c>
      <c r="O80" s="60">
        <v>225</v>
      </c>
      <c r="P80" s="60">
        <f>O80*I80</f>
        <v>900</v>
      </c>
      <c r="Q80" s="61">
        <f t="shared" ref="Q80:Q81" si="27">P80+N80</f>
        <v>2674.68</v>
      </c>
      <c r="R80" s="142"/>
      <c r="S80" s="108">
        <f t="shared" ref="S80:S81" si="28">((((N80*(1+$D$7))+(P80*(1+$D$5+$D$6)))*(1+$D$8)))/I80</f>
        <v>834.08716124999978</v>
      </c>
      <c r="T80" s="107">
        <f t="shared" ref="T80:T81" si="29">S80*I80</f>
        <v>3336.3486449999991</v>
      </c>
    </row>
    <row r="81" spans="1:20" s="7" customFormat="1" ht="63" x14ac:dyDescent="0.2">
      <c r="A81" s="141">
        <f>IF(J81&lt;&gt;"",1+MAX($A$18:A80),"")</f>
        <v>38</v>
      </c>
      <c r="B81" s="49" t="s">
        <v>817</v>
      </c>
      <c r="C81" s="62" t="s">
        <v>817</v>
      </c>
      <c r="D81" s="95" t="s">
        <v>48</v>
      </c>
      <c r="E81" s="182" t="s">
        <v>82</v>
      </c>
      <c r="F81" s="176" t="s">
        <v>855</v>
      </c>
      <c r="G81" s="50">
        <v>4</v>
      </c>
      <c r="H81" s="51">
        <f>IF(VLOOKUP(J81,'HOURLY RATES'!B$116:C$124,2,0)=0,$J$3,VLOOKUP(J81,'HOURLY RATES'!B$116:C$124,2,0))</f>
        <v>0</v>
      </c>
      <c r="I81" s="52">
        <f t="shared" si="24"/>
        <v>4</v>
      </c>
      <c r="J81" s="94" t="s">
        <v>226</v>
      </c>
      <c r="K81" s="238">
        <v>6</v>
      </c>
      <c r="L81" s="59">
        <f t="shared" si="25"/>
        <v>24</v>
      </c>
      <c r="M81" s="57">
        <f>IF(VLOOKUP(E81,'HOURLY RATES'!C$6:D$105,2,0)=0,$E$3,VLOOKUP(E81,'HOURLY RATES'!C$6:D$105,2,0))</f>
        <v>73.944999999999993</v>
      </c>
      <c r="N81" s="57">
        <f t="shared" si="26"/>
        <v>1774.6799999999998</v>
      </c>
      <c r="O81" s="60">
        <v>225</v>
      </c>
      <c r="P81" s="60">
        <f>O81*I81</f>
        <v>900</v>
      </c>
      <c r="Q81" s="61">
        <f t="shared" si="27"/>
        <v>2674.68</v>
      </c>
      <c r="R81" s="142"/>
      <c r="S81" s="108">
        <f t="shared" si="28"/>
        <v>834.08716124999978</v>
      </c>
      <c r="T81" s="107">
        <f t="shared" si="29"/>
        <v>3336.3486449999991</v>
      </c>
    </row>
    <row r="82" spans="1:20" s="7" customFormat="1" x14ac:dyDescent="0.2">
      <c r="A82" s="141" t="str">
        <f>IF(J82&lt;&gt;"",1+MAX($A$18:A81),"")</f>
        <v/>
      </c>
      <c r="B82" s="97"/>
      <c r="C82" s="101"/>
      <c r="D82" s="95"/>
      <c r="E82" s="183"/>
      <c r="F82" s="217" t="s">
        <v>223</v>
      </c>
      <c r="G82" s="115"/>
      <c r="H82" s="51"/>
      <c r="I82" s="52"/>
      <c r="J82" s="94"/>
      <c r="K82" s="238"/>
      <c r="L82" s="59"/>
      <c r="M82" s="57"/>
      <c r="N82" s="57"/>
      <c r="O82" s="60"/>
      <c r="P82" s="60"/>
      <c r="Q82" s="61"/>
      <c r="R82" s="109"/>
      <c r="S82" s="108"/>
      <c r="T82" s="107"/>
    </row>
    <row r="83" spans="1:20" s="7" customFormat="1" x14ac:dyDescent="0.2">
      <c r="A83" s="141" t="str">
        <f>IF(J83&lt;&gt;"",1+MAX($A$18:A82),"")</f>
        <v/>
      </c>
      <c r="B83" s="97"/>
      <c r="C83" s="101"/>
      <c r="D83" s="95"/>
      <c r="E83" s="183"/>
      <c r="F83" s="119" t="s">
        <v>838</v>
      </c>
      <c r="G83" s="96"/>
      <c r="H83" s="99"/>
      <c r="I83" s="100"/>
      <c r="J83" s="94"/>
      <c r="K83" s="239"/>
      <c r="L83" s="240"/>
      <c r="M83" s="241"/>
      <c r="N83" s="241"/>
      <c r="O83" s="242"/>
      <c r="P83" s="242"/>
      <c r="Q83" s="243"/>
      <c r="R83" s="109"/>
      <c r="S83" s="108"/>
      <c r="T83" s="107"/>
    </row>
    <row r="84" spans="1:20" s="7" customFormat="1" x14ac:dyDescent="0.2">
      <c r="A84" s="141">
        <f>IF(J84&lt;&gt;"",1+MAX($A$18:A83),"")</f>
        <v>39</v>
      </c>
      <c r="B84" s="49"/>
      <c r="C84" s="62"/>
      <c r="D84" s="95" t="s">
        <v>48</v>
      </c>
      <c r="E84" s="182" t="s">
        <v>82</v>
      </c>
      <c r="F84" s="176" t="s">
        <v>856</v>
      </c>
      <c r="G84" s="50">
        <v>8</v>
      </c>
      <c r="H84" s="51">
        <f>IF(VLOOKUP(J84,'HOURLY RATES'!B$116:C$124,2,0)=0,$J$3,VLOOKUP(J84,'HOURLY RATES'!B$116:C$124,2,0))</f>
        <v>0</v>
      </c>
      <c r="I84" s="52">
        <f t="shared" ref="I84:I85" si="30">(G84*(1+H84))</f>
        <v>8</v>
      </c>
      <c r="J84" s="94" t="s">
        <v>226</v>
      </c>
      <c r="K84" s="238">
        <v>0.35</v>
      </c>
      <c r="L84" s="59">
        <f t="shared" ref="L84:L89" si="31">K84*I84</f>
        <v>2.8</v>
      </c>
      <c r="M84" s="57">
        <f>IF(VLOOKUP(E84,'HOURLY RATES'!C$6:D$105,2,0)=0,$E$3,VLOOKUP(E84,'HOURLY RATES'!C$6:D$105,2,0))</f>
        <v>73.944999999999993</v>
      </c>
      <c r="N84" s="57">
        <f t="shared" ref="N84:N89" si="32">M84*L84</f>
        <v>207.04599999999996</v>
      </c>
      <c r="O84" s="60">
        <v>4.66</v>
      </c>
      <c r="P84" s="60">
        <f t="shared" ref="P84:P89" si="33">O84*I84</f>
        <v>37.28</v>
      </c>
      <c r="Q84" s="61">
        <f t="shared" ref="Q84:Q89" si="34">P84+N84</f>
        <v>244.32599999999996</v>
      </c>
      <c r="R84" s="142"/>
      <c r="S84" s="108">
        <f t="shared" ref="S84:S89" si="35">((((N84*(1+$D$7))+(P84*(1+$D$5+$D$6)))*(1+$D$8)))/I84</f>
        <v>37.605546796999981</v>
      </c>
      <c r="T84" s="107">
        <f t="shared" ref="T84:T89" si="36">S84*I84</f>
        <v>300.84437437599985</v>
      </c>
    </row>
    <row r="85" spans="1:20" s="7" customFormat="1" x14ac:dyDescent="0.2">
      <c r="A85" s="141">
        <f>IF(J85&lt;&gt;"",1+MAX($A$18:A84),"")</f>
        <v>40</v>
      </c>
      <c r="B85" s="49"/>
      <c r="C85" s="62"/>
      <c r="D85" s="95" t="s">
        <v>48</v>
      </c>
      <c r="E85" s="182" t="s">
        <v>82</v>
      </c>
      <c r="F85" s="176" t="s">
        <v>845</v>
      </c>
      <c r="G85" s="50">
        <v>250</v>
      </c>
      <c r="H85" s="51">
        <f>IF(VLOOKUP(J85,'HOURLY RATES'!B$116:C$124,2,0)=0,$J$3,VLOOKUP(J85,'HOURLY RATES'!B$116:C$124,2,0))</f>
        <v>0.05</v>
      </c>
      <c r="I85" s="52">
        <f t="shared" si="30"/>
        <v>262.5</v>
      </c>
      <c r="J85" s="94" t="s">
        <v>225</v>
      </c>
      <c r="K85" s="238">
        <v>1.231E-2</v>
      </c>
      <c r="L85" s="59">
        <f t="shared" si="31"/>
        <v>3.2313749999999999</v>
      </c>
      <c r="M85" s="57">
        <f>IF(VLOOKUP(E85,'HOURLY RATES'!C$6:D$105,2,0)=0,$E$3,VLOOKUP(E85,'HOURLY RATES'!C$6:D$105,2,0))</f>
        <v>73.944999999999993</v>
      </c>
      <c r="N85" s="57">
        <f t="shared" si="32"/>
        <v>238.94402437499997</v>
      </c>
      <c r="O85" s="60">
        <v>0.76049999999999995</v>
      </c>
      <c r="P85" s="60">
        <f t="shared" si="33"/>
        <v>199.63124999999999</v>
      </c>
      <c r="Q85" s="61">
        <f t="shared" si="34"/>
        <v>438.57527437499994</v>
      </c>
      <c r="R85" s="142"/>
      <c r="S85" s="108">
        <f t="shared" si="35"/>
        <v>2.1013964753249992</v>
      </c>
      <c r="T85" s="107">
        <f t="shared" si="36"/>
        <v>551.61657477281233</v>
      </c>
    </row>
    <row r="86" spans="1:20" s="7" customFormat="1" x14ac:dyDescent="0.2">
      <c r="A86" s="141">
        <f>IF(J86&lt;&gt;"",1+MAX($A$18:A85),"")</f>
        <v>41</v>
      </c>
      <c r="B86" s="49"/>
      <c r="C86" s="62"/>
      <c r="D86" s="95" t="s">
        <v>48</v>
      </c>
      <c r="E86" s="182" t="s">
        <v>82</v>
      </c>
      <c r="F86" s="176" t="s">
        <v>857</v>
      </c>
      <c r="G86" s="50">
        <v>80</v>
      </c>
      <c r="H86" s="51">
        <f>IF(VLOOKUP(J86,'HOURLY RATES'!B$116:C$124,2,0)=0,$J$3,VLOOKUP(J86,'HOURLY RATES'!B$116:C$124,2,0))</f>
        <v>0.05</v>
      </c>
      <c r="I86" s="52">
        <f>(G86*(1+H86))</f>
        <v>84</v>
      </c>
      <c r="J86" s="94" t="s">
        <v>225</v>
      </c>
      <c r="K86" s="238">
        <v>0.1</v>
      </c>
      <c r="L86" s="59">
        <f t="shared" si="31"/>
        <v>8.4</v>
      </c>
      <c r="M86" s="57">
        <f>IF(VLOOKUP(E86,'HOURLY RATES'!C$6:D$105,2,0)=0,$E$3,VLOOKUP(E86,'HOURLY RATES'!C$6:D$105,2,0))</f>
        <v>73.944999999999993</v>
      </c>
      <c r="N86" s="57">
        <f t="shared" si="32"/>
        <v>621.13799999999992</v>
      </c>
      <c r="O86" s="60">
        <v>4.0199999999999996</v>
      </c>
      <c r="P86" s="60">
        <f t="shared" si="33"/>
        <v>337.67999999999995</v>
      </c>
      <c r="Q86" s="61">
        <f t="shared" si="34"/>
        <v>958.81799999999987</v>
      </c>
      <c r="R86" s="142"/>
      <c r="S86" s="108">
        <f t="shared" si="35"/>
        <v>14.253889208999997</v>
      </c>
      <c r="T86" s="107">
        <f t="shared" si="36"/>
        <v>1197.3266935559998</v>
      </c>
    </row>
    <row r="87" spans="1:20" s="7" customFormat="1" x14ac:dyDescent="0.2">
      <c r="A87" s="141">
        <f>IF(J87&lt;&gt;"",1+MAX($A$18:A86),"")</f>
        <v>42</v>
      </c>
      <c r="B87" s="49"/>
      <c r="C87" s="62"/>
      <c r="D87" s="95" t="s">
        <v>48</v>
      </c>
      <c r="E87" s="182" t="s">
        <v>82</v>
      </c>
      <c r="F87" s="176" t="s">
        <v>858</v>
      </c>
      <c r="G87" s="50">
        <v>8</v>
      </c>
      <c r="H87" s="51">
        <f>IF(VLOOKUP(J87,'HOURLY RATES'!B$116:C$124,2,0)=0,$J$3,VLOOKUP(J87,'HOURLY RATES'!B$116:C$124,2,0))</f>
        <v>0</v>
      </c>
      <c r="I87" s="52">
        <f t="shared" ref="I87:I88" si="37">(G87*(1+H87))</f>
        <v>8</v>
      </c>
      <c r="J87" s="94" t="s">
        <v>226</v>
      </c>
      <c r="K87" s="238">
        <v>1</v>
      </c>
      <c r="L87" s="59">
        <f t="shared" si="31"/>
        <v>8</v>
      </c>
      <c r="M87" s="57">
        <f>IF(VLOOKUP(E87,'HOURLY RATES'!C$6:D$105,2,0)=0,$E$3,VLOOKUP(E87,'HOURLY RATES'!C$6:D$105,2,0))</f>
        <v>73.944999999999993</v>
      </c>
      <c r="N87" s="57">
        <f t="shared" si="32"/>
        <v>591.55999999999995</v>
      </c>
      <c r="O87" s="60">
        <v>6</v>
      </c>
      <c r="P87" s="60">
        <f t="shared" si="33"/>
        <v>48</v>
      </c>
      <c r="Q87" s="61">
        <f t="shared" si="34"/>
        <v>639.55999999999995</v>
      </c>
      <c r="R87" s="142"/>
      <c r="S87" s="108">
        <f t="shared" si="35"/>
        <v>97.896932699999979</v>
      </c>
      <c r="T87" s="107">
        <f t="shared" si="36"/>
        <v>783.17546159999984</v>
      </c>
    </row>
    <row r="88" spans="1:20" s="7" customFormat="1" x14ac:dyDescent="0.2">
      <c r="A88" s="141">
        <f>IF(J88&lt;&gt;"",1+MAX($A$18:A87),"")</f>
        <v>43</v>
      </c>
      <c r="B88" s="49"/>
      <c r="C88" s="62"/>
      <c r="D88" s="95" t="s">
        <v>48</v>
      </c>
      <c r="E88" s="182" t="s">
        <v>82</v>
      </c>
      <c r="F88" s="176" t="s">
        <v>859</v>
      </c>
      <c r="G88" s="50">
        <v>8</v>
      </c>
      <c r="H88" s="51">
        <f>IF(VLOOKUP(J88,'HOURLY RATES'!B$116:C$124,2,0)=0,$J$3,VLOOKUP(J88,'HOURLY RATES'!B$116:C$124,2,0))</f>
        <v>0</v>
      </c>
      <c r="I88" s="52">
        <f t="shared" si="37"/>
        <v>8</v>
      </c>
      <c r="J88" s="94" t="s">
        <v>226</v>
      </c>
      <c r="K88" s="238">
        <v>1.1619999999999999</v>
      </c>
      <c r="L88" s="59">
        <f t="shared" si="31"/>
        <v>9.2959999999999994</v>
      </c>
      <c r="M88" s="57">
        <f>IF(VLOOKUP(E88,'HOURLY RATES'!C$6:D$105,2,0)=0,$E$3,VLOOKUP(E88,'HOURLY RATES'!C$6:D$105,2,0))</f>
        <v>73.944999999999993</v>
      </c>
      <c r="N88" s="57">
        <f t="shared" si="32"/>
        <v>687.39271999999994</v>
      </c>
      <c r="O88" s="60">
        <v>14</v>
      </c>
      <c r="P88" s="60">
        <f t="shared" si="33"/>
        <v>112</v>
      </c>
      <c r="Q88" s="61">
        <f t="shared" si="34"/>
        <v>799.39271999999994</v>
      </c>
      <c r="R88" s="142"/>
      <c r="S88" s="108">
        <f t="shared" si="35"/>
        <v>122.93002791999997</v>
      </c>
      <c r="T88" s="107">
        <f t="shared" si="36"/>
        <v>983.44022335999978</v>
      </c>
    </row>
    <row r="89" spans="1:20" s="7" customFormat="1" x14ac:dyDescent="0.2">
      <c r="A89" s="141">
        <f>IF(J89&lt;&gt;"",1+MAX($A$18:A88),"")</f>
        <v>44</v>
      </c>
      <c r="B89" s="49"/>
      <c r="C89" s="62"/>
      <c r="D89" s="95" t="s">
        <v>48</v>
      </c>
      <c r="E89" s="182" t="s">
        <v>82</v>
      </c>
      <c r="F89" s="176" t="s">
        <v>860</v>
      </c>
      <c r="G89" s="50">
        <v>16</v>
      </c>
      <c r="H89" s="51">
        <f>IF(VLOOKUP(J89,'HOURLY RATES'!B$116:C$124,2,0)=0,$J$3,VLOOKUP(J89,'HOURLY RATES'!B$116:C$124,2,0))</f>
        <v>0</v>
      </c>
      <c r="I89" s="52">
        <f>(G89*(1+H89))</f>
        <v>16</v>
      </c>
      <c r="J89" s="94" t="s">
        <v>226</v>
      </c>
      <c r="K89" s="238">
        <v>0.20749999999999999</v>
      </c>
      <c r="L89" s="59">
        <f t="shared" si="31"/>
        <v>3.32</v>
      </c>
      <c r="M89" s="57">
        <f>IF(VLOOKUP(E89,'HOURLY RATES'!C$6:D$105,2,0)=0,$E$3,VLOOKUP(E89,'HOURLY RATES'!C$6:D$105,2,0))</f>
        <v>73.944999999999993</v>
      </c>
      <c r="N89" s="57">
        <f t="shared" si="32"/>
        <v>245.49739999999997</v>
      </c>
      <c r="O89" s="60">
        <v>2.5</v>
      </c>
      <c r="P89" s="60">
        <f t="shared" si="33"/>
        <v>40</v>
      </c>
      <c r="Q89" s="61">
        <f t="shared" si="34"/>
        <v>285.49739999999997</v>
      </c>
      <c r="R89" s="142"/>
      <c r="S89" s="108">
        <f t="shared" si="35"/>
        <v>21.951790699999993</v>
      </c>
      <c r="T89" s="107">
        <f t="shared" si="36"/>
        <v>351.22865119999989</v>
      </c>
    </row>
    <row r="90" spans="1:20" s="7" customFormat="1" x14ac:dyDescent="0.2">
      <c r="A90" s="141" t="str">
        <f>IF(J90&lt;&gt;"",1+MAX($A$18:A89),"")</f>
        <v/>
      </c>
      <c r="B90" s="97"/>
      <c r="C90" s="101"/>
      <c r="D90" s="95"/>
      <c r="E90" s="183"/>
      <c r="F90" s="120" t="s">
        <v>223</v>
      </c>
      <c r="G90" s="102"/>
      <c r="H90" s="99"/>
      <c r="I90" s="100"/>
      <c r="J90" s="94"/>
      <c r="K90" s="239"/>
      <c r="L90" s="240"/>
      <c r="M90" s="241"/>
      <c r="N90" s="241"/>
      <c r="O90" s="242"/>
      <c r="P90" s="242"/>
      <c r="Q90" s="243"/>
      <c r="R90" s="109"/>
      <c r="S90" s="108"/>
      <c r="T90" s="107"/>
    </row>
    <row r="91" spans="1:20" s="7" customFormat="1" x14ac:dyDescent="0.2">
      <c r="A91" s="141" t="str">
        <f>IF(J91&lt;&gt;"",1+MAX($A$18:A90),"")</f>
        <v/>
      </c>
      <c r="B91" s="97"/>
      <c r="C91" s="101"/>
      <c r="D91" s="95"/>
      <c r="E91" s="183"/>
      <c r="F91" s="119" t="s">
        <v>724</v>
      </c>
      <c r="G91" s="96"/>
      <c r="H91" s="99"/>
      <c r="I91" s="100"/>
      <c r="J91" s="94"/>
      <c r="K91" s="239"/>
      <c r="L91" s="240"/>
      <c r="M91" s="241"/>
      <c r="N91" s="241"/>
      <c r="O91" s="242"/>
      <c r="P91" s="242"/>
      <c r="Q91" s="243"/>
      <c r="R91" s="109"/>
      <c r="S91" s="108"/>
      <c r="T91" s="107"/>
    </row>
    <row r="92" spans="1:20" s="7" customFormat="1" x14ac:dyDescent="0.2">
      <c r="A92" s="141">
        <f>IF(J92&lt;&gt;"",1+MAX($A$18:A91),"")</f>
        <v>45</v>
      </c>
      <c r="B92" s="49" t="s">
        <v>817</v>
      </c>
      <c r="C92" s="62" t="s">
        <v>817</v>
      </c>
      <c r="D92" s="95" t="s">
        <v>48</v>
      </c>
      <c r="E92" s="182" t="s">
        <v>82</v>
      </c>
      <c r="F92" s="176" t="s">
        <v>861</v>
      </c>
      <c r="G92" s="50">
        <v>2</v>
      </c>
      <c r="H92" s="51">
        <f>IF(VLOOKUP(J92,'HOURLY RATES'!B$116:C$124,2,0)=0,$J$3,VLOOKUP(J92,'HOURLY RATES'!B$116:C$124,2,0))</f>
        <v>0</v>
      </c>
      <c r="I92" s="52">
        <f t="shared" ref="I92:I93" si="38">(G92*(1+H92))</f>
        <v>2</v>
      </c>
      <c r="J92" s="94" t="s">
        <v>226</v>
      </c>
      <c r="K92" s="238">
        <v>0.45650000000000002</v>
      </c>
      <c r="L92" s="59">
        <f t="shared" ref="L92:L94" si="39">K92*I92</f>
        <v>0.91300000000000003</v>
      </c>
      <c r="M92" s="57">
        <f>IF(VLOOKUP(E92,'HOURLY RATES'!C$6:D$105,2,0)=0,$E$3,VLOOKUP(E92,'HOURLY RATES'!C$6:D$105,2,0))</f>
        <v>73.944999999999993</v>
      </c>
      <c r="N92" s="57">
        <f t="shared" ref="N92:N94" si="40">M92*L92</f>
        <v>67.511785000000003</v>
      </c>
      <c r="O92" s="60">
        <v>5.5</v>
      </c>
      <c r="P92" s="60">
        <f t="shared" ref="P92:P106" si="41">O92*I92</f>
        <v>11</v>
      </c>
      <c r="Q92" s="61">
        <f t="shared" ref="Q92:Q94" si="42">P92+N92</f>
        <v>78.511785000000003</v>
      </c>
      <c r="R92" s="142"/>
      <c r="S92" s="108">
        <f t="shared" ref="S92:S94" si="43">((((N92*(1+$D$7))+(P92*(1+$D$5+$D$6)))*(1+$D$8)))/I92</f>
        <v>48.293939540000004</v>
      </c>
      <c r="T92" s="107">
        <f t="shared" ref="T92:T94" si="44">S92*I92</f>
        <v>96.587879080000008</v>
      </c>
    </row>
    <row r="93" spans="1:20" s="7" customFormat="1" x14ac:dyDescent="0.2">
      <c r="A93" s="141">
        <f>IF(J93&lt;&gt;"",1+MAX($A$18:A92),"")</f>
        <v>46</v>
      </c>
      <c r="B93" s="49" t="s">
        <v>817</v>
      </c>
      <c r="C93" s="62" t="s">
        <v>817</v>
      </c>
      <c r="D93" s="95" t="s">
        <v>48</v>
      </c>
      <c r="E93" s="182" t="s">
        <v>82</v>
      </c>
      <c r="F93" s="176" t="s">
        <v>862</v>
      </c>
      <c r="G93" s="50">
        <v>1</v>
      </c>
      <c r="H93" s="51">
        <f>IF(VLOOKUP(J93,'HOURLY RATES'!B$116:C$124,2,0)=0,$J$3,VLOOKUP(J93,'HOURLY RATES'!B$116:C$124,2,0))</f>
        <v>0</v>
      </c>
      <c r="I93" s="52">
        <f t="shared" si="38"/>
        <v>1</v>
      </c>
      <c r="J93" s="94" t="s">
        <v>226</v>
      </c>
      <c r="K93" s="238">
        <v>0.78849999999999998</v>
      </c>
      <c r="L93" s="59">
        <f t="shared" si="39"/>
        <v>0.78849999999999998</v>
      </c>
      <c r="M93" s="57">
        <f>IF(VLOOKUP(E93,'HOURLY RATES'!C$6:D$105,2,0)=0,$E$3,VLOOKUP(E93,'HOURLY RATES'!C$6:D$105,2,0))</f>
        <v>73.944999999999993</v>
      </c>
      <c r="N93" s="57">
        <f t="shared" si="40"/>
        <v>58.305632499999994</v>
      </c>
      <c r="O93" s="60">
        <v>9.5</v>
      </c>
      <c r="P93" s="60">
        <f t="shared" si="41"/>
        <v>9.5</v>
      </c>
      <c r="Q93" s="61">
        <f t="shared" si="42"/>
        <v>67.805632500000002</v>
      </c>
      <c r="R93" s="142"/>
      <c r="S93" s="108">
        <f t="shared" si="43"/>
        <v>83.416804659999997</v>
      </c>
      <c r="T93" s="107">
        <f t="shared" si="44"/>
        <v>83.416804659999997</v>
      </c>
    </row>
    <row r="94" spans="1:20" s="7" customFormat="1" x14ac:dyDescent="0.2">
      <c r="A94" s="141">
        <f>IF(J94&lt;&gt;"",1+MAX($A$18:A93),"")</f>
        <v>47</v>
      </c>
      <c r="B94" s="49" t="s">
        <v>817</v>
      </c>
      <c r="C94" s="62" t="s">
        <v>817</v>
      </c>
      <c r="D94" s="95" t="s">
        <v>48</v>
      </c>
      <c r="E94" s="182" t="s">
        <v>82</v>
      </c>
      <c r="F94" s="176" t="s">
        <v>863</v>
      </c>
      <c r="G94" s="50">
        <v>1</v>
      </c>
      <c r="H94" s="51">
        <f>IF(VLOOKUP(J94,'HOURLY RATES'!B$116:C$124,2,0)=0,$J$3,VLOOKUP(J94,'HOURLY RATES'!B$116:C$124,2,0))</f>
        <v>0</v>
      </c>
      <c r="I94" s="52">
        <f>(G94*(1+H94))</f>
        <v>1</v>
      </c>
      <c r="J94" s="94" t="s">
        <v>226</v>
      </c>
      <c r="K94" s="238">
        <v>0.58099999999999996</v>
      </c>
      <c r="L94" s="59">
        <f t="shared" si="39"/>
        <v>0.58099999999999996</v>
      </c>
      <c r="M94" s="57">
        <f>IF(VLOOKUP(E94,'HOURLY RATES'!C$6:D$105,2,0)=0,$E$3,VLOOKUP(E94,'HOURLY RATES'!C$6:D$105,2,0))</f>
        <v>73.944999999999993</v>
      </c>
      <c r="N94" s="57">
        <f t="shared" si="40"/>
        <v>42.962044999999996</v>
      </c>
      <c r="O94" s="60">
        <v>7</v>
      </c>
      <c r="P94" s="60">
        <f t="shared" si="41"/>
        <v>7</v>
      </c>
      <c r="Q94" s="61">
        <f t="shared" si="42"/>
        <v>49.962044999999996</v>
      </c>
      <c r="R94" s="142"/>
      <c r="S94" s="108">
        <f t="shared" si="43"/>
        <v>61.465013959999986</v>
      </c>
      <c r="T94" s="107">
        <f t="shared" si="44"/>
        <v>61.465013959999986</v>
      </c>
    </row>
    <row r="95" spans="1:20" s="7" customFormat="1" x14ac:dyDescent="0.2">
      <c r="A95" s="141">
        <f>IF(J95&lt;&gt;"",1+MAX($A$18:A94),"")</f>
        <v>48</v>
      </c>
      <c r="B95" s="49" t="s">
        <v>817</v>
      </c>
      <c r="C95" s="62" t="s">
        <v>817</v>
      </c>
      <c r="D95" s="95" t="s">
        <v>48</v>
      </c>
      <c r="E95" s="182" t="s">
        <v>82</v>
      </c>
      <c r="F95" s="176" t="s">
        <v>782</v>
      </c>
      <c r="G95" s="50">
        <v>1</v>
      </c>
      <c r="H95" s="51">
        <f>IF(VLOOKUP(J95,'HOURLY RATES'!B$116:C$124,2,0)=0,$J$3,VLOOKUP(J95,'HOURLY RATES'!B$116:C$124,2,0))</f>
        <v>0</v>
      </c>
      <c r="I95" s="52">
        <f t="shared" ref="I95:I96" si="45">(G95*(1+H95))</f>
        <v>1</v>
      </c>
      <c r="J95" s="94" t="s">
        <v>226</v>
      </c>
      <c r="K95" s="238">
        <v>0.66400000000000003</v>
      </c>
      <c r="L95" s="59">
        <f t="shared" ref="L95:L97" si="46">K95*I95</f>
        <v>0.66400000000000003</v>
      </c>
      <c r="M95" s="57">
        <f>IF(VLOOKUP(E95,'HOURLY RATES'!C$6:D$105,2,0)=0,$E$3,VLOOKUP(E95,'HOURLY RATES'!C$6:D$105,2,0))</f>
        <v>73.944999999999993</v>
      </c>
      <c r="N95" s="57">
        <f t="shared" ref="N95:N97" si="47">M95*L95</f>
        <v>49.09948</v>
      </c>
      <c r="O95" s="60">
        <v>8</v>
      </c>
      <c r="P95" s="60">
        <f t="shared" si="41"/>
        <v>8</v>
      </c>
      <c r="Q95" s="61">
        <f t="shared" ref="Q95:Q97" si="48">P95+N95</f>
        <v>57.09948</v>
      </c>
      <c r="R95" s="142"/>
      <c r="S95" s="108">
        <f t="shared" ref="S95:S97" si="49">((((N95*(1+$D$7))+(P95*(1+$D$5+$D$6)))*(1+$D$8)))/I95</f>
        <v>70.24573024</v>
      </c>
      <c r="T95" s="107">
        <f t="shared" ref="T95:T97" si="50">S95*I95</f>
        <v>70.24573024</v>
      </c>
    </row>
    <row r="96" spans="1:20" s="7" customFormat="1" x14ac:dyDescent="0.2">
      <c r="A96" s="141">
        <f>IF(J96&lt;&gt;"",1+MAX($A$18:A95),"")</f>
        <v>49</v>
      </c>
      <c r="B96" s="49" t="s">
        <v>817</v>
      </c>
      <c r="C96" s="62" t="s">
        <v>817</v>
      </c>
      <c r="D96" s="95" t="s">
        <v>48</v>
      </c>
      <c r="E96" s="182" t="s">
        <v>82</v>
      </c>
      <c r="F96" s="176" t="s">
        <v>783</v>
      </c>
      <c r="G96" s="50">
        <v>1</v>
      </c>
      <c r="H96" s="51">
        <f>IF(VLOOKUP(J96,'HOURLY RATES'!B$116:C$124,2,0)=0,$J$3,VLOOKUP(J96,'HOURLY RATES'!B$116:C$124,2,0))</f>
        <v>0</v>
      </c>
      <c r="I96" s="52">
        <f t="shared" si="45"/>
        <v>1</v>
      </c>
      <c r="J96" s="94" t="s">
        <v>226</v>
      </c>
      <c r="K96" s="238">
        <v>0.66400000000000003</v>
      </c>
      <c r="L96" s="59">
        <f t="shared" si="46"/>
        <v>0.66400000000000003</v>
      </c>
      <c r="M96" s="57">
        <f>IF(VLOOKUP(E96,'HOURLY RATES'!C$6:D$105,2,0)=0,$E$3,VLOOKUP(E96,'HOURLY RATES'!C$6:D$105,2,0))</f>
        <v>73.944999999999993</v>
      </c>
      <c r="N96" s="57">
        <f t="shared" si="47"/>
        <v>49.09948</v>
      </c>
      <c r="O96" s="60">
        <v>8</v>
      </c>
      <c r="P96" s="60">
        <f t="shared" si="41"/>
        <v>8</v>
      </c>
      <c r="Q96" s="61">
        <f t="shared" si="48"/>
        <v>57.09948</v>
      </c>
      <c r="R96" s="142"/>
      <c r="S96" s="108">
        <f t="shared" si="49"/>
        <v>70.24573024</v>
      </c>
      <c r="T96" s="107">
        <f t="shared" si="50"/>
        <v>70.24573024</v>
      </c>
    </row>
    <row r="97" spans="1:20" s="7" customFormat="1" x14ac:dyDescent="0.2">
      <c r="A97" s="141">
        <f>IF(J97&lt;&gt;"",1+MAX($A$18:A96),"")</f>
        <v>50</v>
      </c>
      <c r="B97" s="49" t="s">
        <v>817</v>
      </c>
      <c r="C97" s="62" t="s">
        <v>817</v>
      </c>
      <c r="D97" s="95" t="s">
        <v>48</v>
      </c>
      <c r="E97" s="182" t="s">
        <v>82</v>
      </c>
      <c r="F97" s="176" t="s">
        <v>784</v>
      </c>
      <c r="G97" s="50">
        <v>1</v>
      </c>
      <c r="H97" s="51">
        <f>IF(VLOOKUP(J97,'HOURLY RATES'!B$116:C$124,2,0)=0,$J$3,VLOOKUP(J97,'HOURLY RATES'!B$116:C$124,2,0))</f>
        <v>0</v>
      </c>
      <c r="I97" s="52">
        <f>(G97*(1+H97))</f>
        <v>1</v>
      </c>
      <c r="J97" s="94" t="s">
        <v>226</v>
      </c>
      <c r="K97" s="238">
        <v>0.53949999999999998</v>
      </c>
      <c r="L97" s="59">
        <f t="shared" si="46"/>
        <v>0.53949999999999998</v>
      </c>
      <c r="M97" s="57">
        <f>IF(VLOOKUP(E97,'HOURLY RATES'!C$6:D$105,2,0)=0,$E$3,VLOOKUP(E97,'HOURLY RATES'!C$6:D$105,2,0))</f>
        <v>73.944999999999993</v>
      </c>
      <c r="N97" s="57">
        <f t="shared" si="47"/>
        <v>39.893327499999998</v>
      </c>
      <c r="O97" s="60">
        <v>6.5</v>
      </c>
      <c r="P97" s="60">
        <f t="shared" si="41"/>
        <v>6.5</v>
      </c>
      <c r="Q97" s="61">
        <f t="shared" si="48"/>
        <v>46.393327499999998</v>
      </c>
      <c r="R97" s="142"/>
      <c r="S97" s="108">
        <f t="shared" si="49"/>
        <v>57.07465581999999</v>
      </c>
      <c r="T97" s="107">
        <f t="shared" si="50"/>
        <v>57.07465581999999</v>
      </c>
    </row>
    <row r="98" spans="1:20" s="7" customFormat="1" x14ac:dyDescent="0.2">
      <c r="A98" s="141">
        <f>IF(J98&lt;&gt;"",1+MAX($A$18:A97),"")</f>
        <v>51</v>
      </c>
      <c r="B98" s="49" t="s">
        <v>817</v>
      </c>
      <c r="C98" s="62" t="s">
        <v>817</v>
      </c>
      <c r="D98" s="95" t="s">
        <v>48</v>
      </c>
      <c r="E98" s="182" t="s">
        <v>82</v>
      </c>
      <c r="F98" s="176" t="s">
        <v>851</v>
      </c>
      <c r="G98" s="50">
        <v>1</v>
      </c>
      <c r="H98" s="51">
        <f>IF(VLOOKUP(J98,'HOURLY RATES'!B$116:C$124,2,0)=0,$J$3,VLOOKUP(J98,'HOURLY RATES'!B$116:C$124,2,0))</f>
        <v>0</v>
      </c>
      <c r="I98" s="52">
        <f t="shared" ref="I98:I99" si="51">(G98*(1+H98))</f>
        <v>1</v>
      </c>
      <c r="J98" s="94" t="s">
        <v>226</v>
      </c>
      <c r="K98" s="238">
        <v>0.29049999999999998</v>
      </c>
      <c r="L98" s="59">
        <f t="shared" ref="L98:L100" si="52">K98*I98</f>
        <v>0.29049999999999998</v>
      </c>
      <c r="M98" s="57">
        <f>IF(VLOOKUP(E98,'HOURLY RATES'!C$6:D$105,2,0)=0,$E$3,VLOOKUP(E98,'HOURLY RATES'!C$6:D$105,2,0))</f>
        <v>73.944999999999993</v>
      </c>
      <c r="N98" s="57">
        <f t="shared" ref="N98:N100" si="53">M98*L98</f>
        <v>21.481022499999998</v>
      </c>
      <c r="O98" s="60">
        <v>3.5</v>
      </c>
      <c r="P98" s="60">
        <f t="shared" si="41"/>
        <v>3.5</v>
      </c>
      <c r="Q98" s="61">
        <f t="shared" ref="Q98:Q100" si="54">P98+N98</f>
        <v>24.981022499999998</v>
      </c>
      <c r="R98" s="142"/>
      <c r="S98" s="108">
        <f t="shared" ref="S98:S100" si="55">((((N98*(1+$D$7))+(P98*(1+$D$5+$D$6)))*(1+$D$8)))/I98</f>
        <v>30.732506979999993</v>
      </c>
      <c r="T98" s="107">
        <f t="shared" ref="T98:T100" si="56">S98*I98</f>
        <v>30.732506979999993</v>
      </c>
    </row>
    <row r="99" spans="1:20" s="7" customFormat="1" x14ac:dyDescent="0.2">
      <c r="A99" s="141">
        <f>IF(J99&lt;&gt;"",1+MAX($A$18:A98),"")</f>
        <v>52</v>
      </c>
      <c r="B99" s="49" t="s">
        <v>817</v>
      </c>
      <c r="C99" s="62" t="s">
        <v>817</v>
      </c>
      <c r="D99" s="95" t="s">
        <v>48</v>
      </c>
      <c r="E99" s="182" t="s">
        <v>82</v>
      </c>
      <c r="F99" s="176" t="s">
        <v>785</v>
      </c>
      <c r="G99" s="50">
        <v>1</v>
      </c>
      <c r="H99" s="51">
        <f>IF(VLOOKUP(J99,'HOURLY RATES'!B$116:C$124,2,0)=0,$J$3,VLOOKUP(J99,'HOURLY RATES'!B$116:C$124,2,0))</f>
        <v>0</v>
      </c>
      <c r="I99" s="52">
        <f t="shared" si="51"/>
        <v>1</v>
      </c>
      <c r="J99" s="94" t="s">
        <v>226</v>
      </c>
      <c r="K99" s="238">
        <v>0.29049999999999998</v>
      </c>
      <c r="L99" s="59">
        <f t="shared" si="52"/>
        <v>0.29049999999999998</v>
      </c>
      <c r="M99" s="57">
        <f>IF(VLOOKUP(E99,'HOURLY RATES'!C$6:D$105,2,0)=0,$E$3,VLOOKUP(E99,'HOURLY RATES'!C$6:D$105,2,0))</f>
        <v>73.944999999999993</v>
      </c>
      <c r="N99" s="57">
        <f t="shared" si="53"/>
        <v>21.481022499999998</v>
      </c>
      <c r="O99" s="60">
        <v>3.5</v>
      </c>
      <c r="P99" s="60">
        <f t="shared" si="41"/>
        <v>3.5</v>
      </c>
      <c r="Q99" s="61">
        <f t="shared" si="54"/>
        <v>24.981022499999998</v>
      </c>
      <c r="R99" s="142"/>
      <c r="S99" s="108">
        <f t="shared" si="55"/>
        <v>30.732506979999993</v>
      </c>
      <c r="T99" s="107">
        <f t="shared" si="56"/>
        <v>30.732506979999993</v>
      </c>
    </row>
    <row r="100" spans="1:20" s="7" customFormat="1" x14ac:dyDescent="0.2">
      <c r="A100" s="141">
        <f>IF(J100&lt;&gt;"",1+MAX($A$18:A99),"")</f>
        <v>53</v>
      </c>
      <c r="B100" s="49" t="s">
        <v>817</v>
      </c>
      <c r="C100" s="62" t="s">
        <v>817</v>
      </c>
      <c r="D100" s="95" t="s">
        <v>48</v>
      </c>
      <c r="E100" s="182" t="s">
        <v>82</v>
      </c>
      <c r="F100" s="176" t="s">
        <v>864</v>
      </c>
      <c r="G100" s="50">
        <v>4</v>
      </c>
      <c r="H100" s="51">
        <f>IF(VLOOKUP(J100,'HOURLY RATES'!B$116:C$124,2,0)=0,$J$3,VLOOKUP(J100,'HOURLY RATES'!B$116:C$124,2,0))</f>
        <v>0</v>
      </c>
      <c r="I100" s="52">
        <f>(G100*(1+H100))</f>
        <v>4</v>
      </c>
      <c r="J100" s="94" t="s">
        <v>226</v>
      </c>
      <c r="K100" s="238">
        <v>1.494</v>
      </c>
      <c r="L100" s="59">
        <f t="shared" si="52"/>
        <v>5.976</v>
      </c>
      <c r="M100" s="57">
        <f>IF(VLOOKUP(E100,'HOURLY RATES'!C$6:D$105,2,0)=0,$E$3,VLOOKUP(E100,'HOURLY RATES'!C$6:D$105,2,0))</f>
        <v>73.944999999999993</v>
      </c>
      <c r="N100" s="57">
        <f t="shared" si="53"/>
        <v>441.89531999999997</v>
      </c>
      <c r="O100" s="60">
        <v>18</v>
      </c>
      <c r="P100" s="60">
        <f t="shared" si="41"/>
        <v>72</v>
      </c>
      <c r="Q100" s="61">
        <f t="shared" si="54"/>
        <v>513.89531999999997</v>
      </c>
      <c r="R100" s="142"/>
      <c r="S100" s="108">
        <f t="shared" si="55"/>
        <v>158.05289303999996</v>
      </c>
      <c r="T100" s="107">
        <f t="shared" si="56"/>
        <v>632.21157215999983</v>
      </c>
    </row>
    <row r="101" spans="1:20" s="7" customFormat="1" x14ac:dyDescent="0.2">
      <c r="A101" s="141">
        <f>IF(J101&lt;&gt;"",1+MAX($A$18:A100),"")</f>
        <v>54</v>
      </c>
      <c r="B101" s="49" t="s">
        <v>817</v>
      </c>
      <c r="C101" s="62" t="s">
        <v>817</v>
      </c>
      <c r="D101" s="95" t="s">
        <v>48</v>
      </c>
      <c r="E101" s="182" t="s">
        <v>82</v>
      </c>
      <c r="F101" s="176" t="s">
        <v>865</v>
      </c>
      <c r="G101" s="50">
        <v>1</v>
      </c>
      <c r="H101" s="51">
        <f>IF(VLOOKUP(J101,'HOURLY RATES'!B$116:C$124,2,0)=0,$J$3,VLOOKUP(J101,'HOURLY RATES'!B$116:C$124,2,0))</f>
        <v>0</v>
      </c>
      <c r="I101" s="52">
        <f t="shared" ref="I101:I102" si="57">(G101*(1+H101))</f>
        <v>1</v>
      </c>
      <c r="J101" s="94" t="s">
        <v>226</v>
      </c>
      <c r="K101" s="238">
        <v>0.91300000000000003</v>
      </c>
      <c r="L101" s="59">
        <f t="shared" ref="L101:L104" si="58">K101*I101</f>
        <v>0.91300000000000003</v>
      </c>
      <c r="M101" s="57">
        <f>IF(VLOOKUP(E101,'HOURLY RATES'!C$6:D$105,2,0)=0,$E$3,VLOOKUP(E101,'HOURLY RATES'!C$6:D$105,2,0))</f>
        <v>73.944999999999993</v>
      </c>
      <c r="N101" s="57">
        <f t="shared" ref="N101:N104" si="59">M101*L101</f>
        <v>67.511785000000003</v>
      </c>
      <c r="O101" s="60">
        <v>11</v>
      </c>
      <c r="P101" s="60">
        <f t="shared" si="41"/>
        <v>11</v>
      </c>
      <c r="Q101" s="61">
        <f t="shared" ref="Q101:Q104" si="60">P101+N101</f>
        <v>78.511785000000003</v>
      </c>
      <c r="R101" s="142"/>
      <c r="S101" s="108">
        <f t="shared" ref="S101:S104" si="61">((((N101*(1+$D$7))+(P101*(1+$D$5+$D$6)))*(1+$D$8)))/I101</f>
        <v>96.587879080000008</v>
      </c>
      <c r="T101" s="107">
        <f t="shared" ref="T101:T104" si="62">S101*I101</f>
        <v>96.587879080000008</v>
      </c>
    </row>
    <row r="102" spans="1:20" s="7" customFormat="1" x14ac:dyDescent="0.2">
      <c r="A102" s="141">
        <f>IF(J102&lt;&gt;"",1+MAX($A$18:A101),"")</f>
        <v>55</v>
      </c>
      <c r="B102" s="49" t="s">
        <v>817</v>
      </c>
      <c r="C102" s="62" t="s">
        <v>817</v>
      </c>
      <c r="D102" s="95" t="s">
        <v>48</v>
      </c>
      <c r="E102" s="182" t="s">
        <v>82</v>
      </c>
      <c r="F102" s="176" t="s">
        <v>866</v>
      </c>
      <c r="G102" s="50">
        <v>1</v>
      </c>
      <c r="H102" s="51">
        <f>IF(VLOOKUP(J102,'HOURLY RATES'!B$116:C$124,2,0)=0,$J$3,VLOOKUP(J102,'HOURLY RATES'!B$116:C$124,2,0))</f>
        <v>0</v>
      </c>
      <c r="I102" s="52">
        <f t="shared" si="57"/>
        <v>1</v>
      </c>
      <c r="J102" s="94" t="s">
        <v>226</v>
      </c>
      <c r="K102" s="238">
        <v>0.35</v>
      </c>
      <c r="L102" s="59">
        <f t="shared" si="58"/>
        <v>0.35</v>
      </c>
      <c r="M102" s="57">
        <f>IF(VLOOKUP(E102,'HOURLY RATES'!C$6:D$105,2,0)=0,$E$3,VLOOKUP(E102,'HOURLY RATES'!C$6:D$105,2,0))</f>
        <v>73.944999999999993</v>
      </c>
      <c r="N102" s="57">
        <f t="shared" si="59"/>
        <v>25.880749999999995</v>
      </c>
      <c r="O102" s="60">
        <v>4.66</v>
      </c>
      <c r="P102" s="60">
        <f t="shared" si="41"/>
        <v>4.66</v>
      </c>
      <c r="Q102" s="61">
        <f t="shared" si="60"/>
        <v>30.540749999999996</v>
      </c>
      <c r="R102" s="142"/>
      <c r="S102" s="108">
        <f t="shared" si="61"/>
        <v>37.605546796999981</v>
      </c>
      <c r="T102" s="107">
        <f t="shared" si="62"/>
        <v>37.605546796999981</v>
      </c>
    </row>
    <row r="103" spans="1:20" s="7" customFormat="1" x14ac:dyDescent="0.2">
      <c r="A103" s="141">
        <f>IF(J103&lt;&gt;"",1+MAX($A$18:A102),"")</f>
        <v>56</v>
      </c>
      <c r="B103" s="49" t="s">
        <v>817</v>
      </c>
      <c r="C103" s="62" t="s">
        <v>817</v>
      </c>
      <c r="D103" s="95" t="s">
        <v>48</v>
      </c>
      <c r="E103" s="182" t="s">
        <v>82</v>
      </c>
      <c r="F103" s="176" t="s">
        <v>867</v>
      </c>
      <c r="G103" s="50">
        <v>1</v>
      </c>
      <c r="H103" s="51">
        <f>IF(VLOOKUP(J103,'HOURLY RATES'!B$116:C$124,2,0)=0,$J$3,VLOOKUP(J103,'HOURLY RATES'!B$116:C$124,2,0))</f>
        <v>0</v>
      </c>
      <c r="I103" s="52">
        <f>(G103*(1+H103))</f>
        <v>1</v>
      </c>
      <c r="J103" s="94" t="s">
        <v>226</v>
      </c>
      <c r="K103" s="238">
        <v>0.996</v>
      </c>
      <c r="L103" s="59">
        <f t="shared" si="58"/>
        <v>0.996</v>
      </c>
      <c r="M103" s="57">
        <f>IF(VLOOKUP(E103,'HOURLY RATES'!C$6:D$105,2,0)=0,$E$3,VLOOKUP(E103,'HOURLY RATES'!C$6:D$105,2,0))</f>
        <v>73.944999999999993</v>
      </c>
      <c r="N103" s="57">
        <f t="shared" si="59"/>
        <v>73.64922</v>
      </c>
      <c r="O103" s="60">
        <v>12</v>
      </c>
      <c r="P103" s="60">
        <f t="shared" si="41"/>
        <v>12</v>
      </c>
      <c r="Q103" s="61">
        <f t="shared" si="60"/>
        <v>85.64922</v>
      </c>
      <c r="R103" s="142"/>
      <c r="S103" s="108">
        <f t="shared" si="61"/>
        <v>105.36859535999999</v>
      </c>
      <c r="T103" s="107">
        <f t="shared" si="62"/>
        <v>105.36859535999999</v>
      </c>
    </row>
    <row r="104" spans="1:20" s="7" customFormat="1" x14ac:dyDescent="0.2">
      <c r="A104" s="141">
        <f>IF(J104&lt;&gt;"",1+MAX($A$18:A103),"")</f>
        <v>57</v>
      </c>
      <c r="B104" s="49" t="s">
        <v>817</v>
      </c>
      <c r="C104" s="62" t="s">
        <v>817</v>
      </c>
      <c r="D104" s="95" t="s">
        <v>48</v>
      </c>
      <c r="E104" s="182" t="s">
        <v>82</v>
      </c>
      <c r="F104" s="176" t="s">
        <v>868</v>
      </c>
      <c r="G104" s="50">
        <v>1</v>
      </c>
      <c r="H104" s="51">
        <f>IF(VLOOKUP(J104,'HOURLY RATES'!B$116:C$124,2,0)=0,$J$3,VLOOKUP(J104,'HOURLY RATES'!B$116:C$124,2,0))</f>
        <v>0</v>
      </c>
      <c r="I104" s="52">
        <f>(G104*(1+H104))</f>
        <v>1</v>
      </c>
      <c r="J104" s="94" t="s">
        <v>226</v>
      </c>
      <c r="K104" s="238">
        <v>4.12</v>
      </c>
      <c r="L104" s="59">
        <f t="shared" si="58"/>
        <v>4.12</v>
      </c>
      <c r="M104" s="57">
        <f>IF(VLOOKUP(E104,'HOURLY RATES'!C$6:D$105,2,0)=0,$E$3,VLOOKUP(E104,'HOURLY RATES'!C$6:D$105,2,0))</f>
        <v>73.944999999999993</v>
      </c>
      <c r="N104" s="57">
        <f t="shared" si="59"/>
        <v>304.65339999999998</v>
      </c>
      <c r="O104" s="60">
        <v>125</v>
      </c>
      <c r="P104" s="60">
        <f t="shared" si="41"/>
        <v>125</v>
      </c>
      <c r="Q104" s="61">
        <f t="shared" si="60"/>
        <v>429.65339999999998</v>
      </c>
      <c r="R104" s="142"/>
      <c r="S104" s="108">
        <f t="shared" si="61"/>
        <v>534.23289744999988</v>
      </c>
      <c r="T104" s="107">
        <f t="shared" si="62"/>
        <v>534.23289744999988</v>
      </c>
    </row>
    <row r="105" spans="1:20" s="7" customFormat="1" x14ac:dyDescent="0.2">
      <c r="A105" s="141">
        <f>IF(J105&lt;&gt;"",1+MAX($A$18:A104),"")</f>
        <v>58</v>
      </c>
      <c r="B105" s="49" t="s">
        <v>817</v>
      </c>
      <c r="C105" s="62" t="s">
        <v>817</v>
      </c>
      <c r="D105" s="95" t="s">
        <v>48</v>
      </c>
      <c r="E105" s="182" t="s">
        <v>82</v>
      </c>
      <c r="F105" s="176" t="s">
        <v>786</v>
      </c>
      <c r="G105" s="50">
        <v>1</v>
      </c>
      <c r="H105" s="51">
        <f>IF(VLOOKUP(J105,'HOURLY RATES'!B$116:C$124,2,0)=0,$J$3,VLOOKUP(J105,'HOURLY RATES'!B$116:C$124,2,0))</f>
        <v>0</v>
      </c>
      <c r="I105" s="52">
        <f>(G105*(1+H105))</f>
        <v>1</v>
      </c>
      <c r="J105" s="94" t="s">
        <v>226</v>
      </c>
      <c r="K105" s="238">
        <v>2.85</v>
      </c>
      <c r="L105" s="59">
        <f t="shared" ref="L105" si="63">K105*I105</f>
        <v>2.85</v>
      </c>
      <c r="M105" s="57">
        <f>IF(VLOOKUP(E105,'HOURLY RATES'!C$6:D$105,2,0)=0,$E$3,VLOOKUP(E105,'HOURLY RATES'!C$6:D$105,2,0))</f>
        <v>73.944999999999993</v>
      </c>
      <c r="N105" s="57">
        <f t="shared" ref="N105" si="64">M105*L105</f>
        <v>210.74324999999999</v>
      </c>
      <c r="O105" s="60">
        <v>40</v>
      </c>
      <c r="P105" s="60">
        <f t="shared" si="41"/>
        <v>40</v>
      </c>
      <c r="Q105" s="61">
        <f t="shared" ref="Q105" si="65">P105+N105</f>
        <v>250.74324999999999</v>
      </c>
      <c r="R105" s="142"/>
      <c r="S105" s="108">
        <f t="shared" ref="S105" si="66">((((N105*(1+$D$7))+(P105*(1+$D$5+$D$6)))*(1+$D$8)))/I105</f>
        <v>308.89809649999989</v>
      </c>
      <c r="T105" s="107">
        <f t="shared" ref="T105" si="67">S105*I105</f>
        <v>308.89809649999989</v>
      </c>
    </row>
    <row r="106" spans="1:20" s="7" customFormat="1" x14ac:dyDescent="0.2">
      <c r="A106" s="141">
        <f>IF(J106&lt;&gt;"",1+MAX($A$18:A105),"")</f>
        <v>59</v>
      </c>
      <c r="B106" s="49" t="s">
        <v>817</v>
      </c>
      <c r="C106" s="62" t="s">
        <v>817</v>
      </c>
      <c r="D106" s="95" t="s">
        <v>48</v>
      </c>
      <c r="E106" s="182" t="s">
        <v>82</v>
      </c>
      <c r="F106" s="176" t="s">
        <v>787</v>
      </c>
      <c r="G106" s="50">
        <v>1</v>
      </c>
      <c r="H106" s="51">
        <f>IF(VLOOKUP(J106,'HOURLY RATES'!B$116:C$124,2,0)=0,$J$3,VLOOKUP(J106,'HOURLY RATES'!B$116:C$124,2,0))</f>
        <v>0</v>
      </c>
      <c r="I106" s="52">
        <f>(G106*(1+H106))</f>
        <v>1</v>
      </c>
      <c r="J106" s="94" t="s">
        <v>226</v>
      </c>
      <c r="K106" s="238">
        <v>34</v>
      </c>
      <c r="L106" s="59">
        <f t="shared" ref="L106" si="68">K106*I106</f>
        <v>34</v>
      </c>
      <c r="M106" s="57">
        <f>IF(VLOOKUP(E106,'HOURLY RATES'!C$6:D$105,2,0)=0,$E$3,VLOOKUP(E106,'HOURLY RATES'!C$6:D$105,2,0))</f>
        <v>73.944999999999993</v>
      </c>
      <c r="N106" s="57">
        <f t="shared" ref="N106" si="69">M106*L106</f>
        <v>2514.1299999999997</v>
      </c>
      <c r="O106" s="60">
        <v>2850</v>
      </c>
      <c r="P106" s="60">
        <f t="shared" si="41"/>
        <v>2850</v>
      </c>
      <c r="Q106" s="61">
        <f t="shared" ref="Q106" si="70">P106+N106</f>
        <v>5364.1299999999992</v>
      </c>
      <c r="R106" s="142"/>
      <c r="S106" s="108">
        <f t="shared" ref="S106" si="71">((((N106*(1+$D$7))+(P106*(1+$D$5+$D$6)))*(1+$D$8)))/I106</f>
        <v>6782.3736224999993</v>
      </c>
      <c r="T106" s="107">
        <f t="shared" ref="T106" si="72">S106*I106</f>
        <v>6782.3736224999993</v>
      </c>
    </row>
    <row r="107" spans="1:20" s="7" customFormat="1" x14ac:dyDescent="0.2">
      <c r="A107" s="141" t="str">
        <f>IF(J107&lt;&gt;"",1+MAX($A$18:A106),"")</f>
        <v/>
      </c>
      <c r="B107" s="97"/>
      <c r="C107" s="101"/>
      <c r="D107" s="95"/>
      <c r="E107" s="183"/>
      <c r="F107" s="120" t="s">
        <v>223</v>
      </c>
      <c r="G107" s="102"/>
      <c r="H107" s="99"/>
      <c r="I107" s="100"/>
      <c r="J107" s="94"/>
      <c r="K107" s="239"/>
      <c r="L107" s="240"/>
      <c r="M107" s="241"/>
      <c r="N107" s="241"/>
      <c r="O107" s="242"/>
      <c r="P107" s="242"/>
      <c r="Q107" s="243"/>
      <c r="R107" s="109"/>
      <c r="S107" s="108"/>
      <c r="T107" s="107"/>
    </row>
    <row r="108" spans="1:20" s="7" customFormat="1" x14ac:dyDescent="0.2">
      <c r="A108" s="141" t="str">
        <f>IF(J108&lt;&gt;"",1+MAX($A$18:A107),"")</f>
        <v/>
      </c>
      <c r="B108" s="97"/>
      <c r="C108" s="101"/>
      <c r="D108" s="95"/>
      <c r="E108" s="183"/>
      <c r="F108" s="119" t="s">
        <v>725</v>
      </c>
      <c r="G108" s="96"/>
      <c r="H108" s="99"/>
      <c r="I108" s="100"/>
      <c r="J108" s="94"/>
      <c r="K108" s="239"/>
      <c r="L108" s="240"/>
      <c r="M108" s="241"/>
      <c r="N108" s="241"/>
      <c r="O108" s="242"/>
      <c r="P108" s="242"/>
      <c r="Q108" s="243"/>
      <c r="R108" s="109"/>
      <c r="S108" s="108"/>
      <c r="T108" s="107"/>
    </row>
    <row r="109" spans="1:20" s="7" customFormat="1" x14ac:dyDescent="0.2">
      <c r="A109" s="141">
        <f>IF(J109&lt;&gt;"",1+MAX($A$18:A108),"")</f>
        <v>60</v>
      </c>
      <c r="B109" s="49" t="s">
        <v>817</v>
      </c>
      <c r="C109" s="62" t="s">
        <v>817</v>
      </c>
      <c r="D109" s="95" t="s">
        <v>48</v>
      </c>
      <c r="E109" s="182" t="s">
        <v>82</v>
      </c>
      <c r="F109" s="176" t="s">
        <v>869</v>
      </c>
      <c r="G109" s="50">
        <v>50</v>
      </c>
      <c r="H109" s="51">
        <f>IF(VLOOKUP(J109,'HOURLY RATES'!B$116:C$124,2,0)=0,$J$3,VLOOKUP(J109,'HOURLY RATES'!B$116:C$124,2,0))</f>
        <v>0.05</v>
      </c>
      <c r="I109" s="52">
        <f t="shared" ref="I109:I111" si="73">(G109*(1+H109))</f>
        <v>52.5</v>
      </c>
      <c r="J109" s="94" t="s">
        <v>225</v>
      </c>
      <c r="K109" s="238">
        <f>(4*0.02)+0.01</f>
        <v>0.09</v>
      </c>
      <c r="L109" s="59">
        <f t="shared" ref="L109:L111" si="74">K109*I109</f>
        <v>4.7249999999999996</v>
      </c>
      <c r="M109" s="57">
        <f>IF(VLOOKUP(E109,'HOURLY RATES'!C$6:D$105,2,0)=0,$E$3,VLOOKUP(E109,'HOURLY RATES'!C$6:D$105,2,0))</f>
        <v>73.944999999999993</v>
      </c>
      <c r="N109" s="57">
        <f t="shared" ref="N109:N111" si="75">M109*L109</f>
        <v>349.39012499999995</v>
      </c>
      <c r="O109" s="60">
        <f>(4*2.1902)+0.4563</f>
        <v>9.2171000000000003</v>
      </c>
      <c r="P109" s="60">
        <f t="shared" ref="P109:P111" si="76">O109*I109</f>
        <v>483.89775000000003</v>
      </c>
      <c r="Q109" s="61">
        <f t="shared" ref="Q109:Q111" si="77">P109+N109</f>
        <v>833.28787499999999</v>
      </c>
      <c r="R109" s="142"/>
      <c r="S109" s="108">
        <f t="shared" ref="S109:S111" si="78">((((N109*(1+$D$7))+(P109*(1+$D$5+$D$6)))*(1+$D$8)))/I109</f>
        <v>20.137120019694997</v>
      </c>
      <c r="T109" s="107">
        <f t="shared" ref="T109:T111" si="79">S109*I109</f>
        <v>1057.1988010339874</v>
      </c>
    </row>
    <row r="110" spans="1:20" s="7" customFormat="1" x14ac:dyDescent="0.2">
      <c r="A110" s="141">
        <f>IF(J110&lt;&gt;"",1+MAX($A$18:A109),"")</f>
        <v>61</v>
      </c>
      <c r="B110" s="49" t="s">
        <v>817</v>
      </c>
      <c r="C110" s="62" t="s">
        <v>817</v>
      </c>
      <c r="D110" s="95" t="s">
        <v>48</v>
      </c>
      <c r="E110" s="182" t="s">
        <v>82</v>
      </c>
      <c r="F110" s="176" t="s">
        <v>870</v>
      </c>
      <c r="G110" s="50">
        <v>110</v>
      </c>
      <c r="H110" s="51">
        <f>IF(VLOOKUP(J110,'HOURLY RATES'!B$116:C$124,2,0)=0,$J$3,VLOOKUP(J110,'HOURLY RATES'!B$116:C$124,2,0))</f>
        <v>0.05</v>
      </c>
      <c r="I110" s="52">
        <f t="shared" si="73"/>
        <v>115.5</v>
      </c>
      <c r="J110" s="94" t="s">
        <v>225</v>
      </c>
      <c r="K110" s="238">
        <f>(4*0.0444)+0.01509</f>
        <v>0.19269</v>
      </c>
      <c r="L110" s="59">
        <f t="shared" si="74"/>
        <v>22.255694999999999</v>
      </c>
      <c r="M110" s="57">
        <f>IF(VLOOKUP(E110,'HOURLY RATES'!C$6:D$105,2,0)=0,$E$3,VLOOKUP(E110,'HOURLY RATES'!C$6:D$105,2,0))</f>
        <v>73.944999999999993</v>
      </c>
      <c r="N110" s="57">
        <f t="shared" si="75"/>
        <v>1645.6973667749999</v>
      </c>
      <c r="O110" s="60">
        <f>(4*8.8725)+1.1661</f>
        <v>36.656100000000002</v>
      </c>
      <c r="P110" s="60">
        <f t="shared" si="76"/>
        <v>4233.7795500000002</v>
      </c>
      <c r="Q110" s="61">
        <f t="shared" si="77"/>
        <v>5879.4769167750001</v>
      </c>
      <c r="R110" s="142"/>
      <c r="S110" s="108">
        <f t="shared" si="78"/>
        <v>65.202583724144986</v>
      </c>
      <c r="T110" s="107">
        <f t="shared" si="79"/>
        <v>7530.8984201387457</v>
      </c>
    </row>
    <row r="111" spans="1:20" s="7" customFormat="1" x14ac:dyDescent="0.2">
      <c r="A111" s="141">
        <f>IF(J111&lt;&gt;"",1+MAX($A$18:A110),"")</f>
        <v>62</v>
      </c>
      <c r="B111" s="49" t="s">
        <v>817</v>
      </c>
      <c r="C111" s="62" t="s">
        <v>817</v>
      </c>
      <c r="D111" s="95" t="s">
        <v>48</v>
      </c>
      <c r="E111" s="182" t="s">
        <v>82</v>
      </c>
      <c r="F111" s="176" t="s">
        <v>871</v>
      </c>
      <c r="G111" s="50">
        <v>25</v>
      </c>
      <c r="H111" s="51">
        <f>IF(VLOOKUP(J111,'HOURLY RATES'!B$116:C$124,2,0)=0,$J$3,VLOOKUP(J111,'HOURLY RATES'!B$116:C$124,2,0))</f>
        <v>0.05</v>
      </c>
      <c r="I111" s="52">
        <f t="shared" si="73"/>
        <v>26.25</v>
      </c>
      <c r="J111" s="94" t="s">
        <v>225</v>
      </c>
      <c r="K111" s="238">
        <f>(3*0.02)+0.01</f>
        <v>6.9999999999999993E-2</v>
      </c>
      <c r="L111" s="59">
        <f t="shared" si="74"/>
        <v>1.8374999999999999</v>
      </c>
      <c r="M111" s="57">
        <f>IF(VLOOKUP(E111,'HOURLY RATES'!C$6:D$105,2,0)=0,$E$3,VLOOKUP(E111,'HOURLY RATES'!C$6:D$105,2,0))</f>
        <v>73.944999999999993</v>
      </c>
      <c r="N111" s="57">
        <f t="shared" si="75"/>
        <v>135.87393749999998</v>
      </c>
      <c r="O111" s="60">
        <f>(3*2.1902)+0.4563</f>
        <v>7.0268999999999995</v>
      </c>
      <c r="P111" s="60">
        <f t="shared" si="76"/>
        <v>184.45612499999999</v>
      </c>
      <c r="Q111" s="61">
        <f t="shared" si="77"/>
        <v>320.33006249999994</v>
      </c>
      <c r="R111" s="142"/>
      <c r="S111" s="108">
        <f t="shared" si="78"/>
        <v>15.476906970104997</v>
      </c>
      <c r="T111" s="107">
        <f t="shared" si="79"/>
        <v>406.26880796525614</v>
      </c>
    </row>
    <row r="112" spans="1:20" s="7" customFormat="1" x14ac:dyDescent="0.2">
      <c r="A112" s="141" t="str">
        <f>IF(J112&lt;&gt;"",1+MAX($A$18:A111),"")</f>
        <v/>
      </c>
      <c r="B112" s="49"/>
      <c r="C112" s="62"/>
      <c r="D112" s="95"/>
      <c r="E112" s="182"/>
      <c r="F112" s="176" t="s">
        <v>223</v>
      </c>
      <c r="G112" s="50"/>
      <c r="H112" s="51"/>
      <c r="I112" s="52"/>
      <c r="J112" s="94"/>
      <c r="K112" s="238"/>
      <c r="L112" s="59"/>
      <c r="M112" s="57"/>
      <c r="N112" s="57"/>
      <c r="O112" s="60"/>
      <c r="P112" s="60"/>
      <c r="Q112" s="61"/>
      <c r="R112" s="142"/>
      <c r="S112" s="108"/>
      <c r="T112" s="107"/>
    </row>
    <row r="113" spans="1:20" s="7" customFormat="1" x14ac:dyDescent="0.2">
      <c r="A113" s="141">
        <f>IF(J113&lt;&gt;"",1+MAX($A$18:A112),"")</f>
        <v>63</v>
      </c>
      <c r="B113" s="49" t="s">
        <v>817</v>
      </c>
      <c r="C113" s="62" t="s">
        <v>817</v>
      </c>
      <c r="D113" s="95" t="s">
        <v>48</v>
      </c>
      <c r="E113" s="182" t="s">
        <v>82</v>
      </c>
      <c r="F113" s="176" t="s">
        <v>872</v>
      </c>
      <c r="G113" s="50">
        <v>100</v>
      </c>
      <c r="H113" s="51">
        <f>IF(VLOOKUP(J113,'HOURLY RATES'!B$116:C$124,2,0)=0,$J$3,VLOOKUP(J113,'HOURLY RATES'!B$116:C$124,2,0))</f>
        <v>0.05</v>
      </c>
      <c r="I113" s="52">
        <f t="shared" ref="I113" si="80">(G113*(1+H113))</f>
        <v>105</v>
      </c>
      <c r="J113" s="94" t="s">
        <v>225</v>
      </c>
      <c r="K113" s="238">
        <v>0.17699999999999999</v>
      </c>
      <c r="L113" s="59">
        <f t="shared" ref="L113" si="81">K113*I113</f>
        <v>18.584999999999997</v>
      </c>
      <c r="M113" s="57">
        <f>IF(VLOOKUP(E113,'HOURLY RATES'!C$6:D$105,2,0)=0,$E$3,VLOOKUP(E113,'HOURLY RATES'!C$6:D$105,2,0))</f>
        <v>73.944999999999993</v>
      </c>
      <c r="N113" s="57">
        <f t="shared" ref="N113" si="82">M113*L113</f>
        <v>1374.2678249999997</v>
      </c>
      <c r="O113" s="60">
        <v>10.1</v>
      </c>
      <c r="P113" s="60">
        <f t="shared" ref="P113:P115" si="83">O113*I113</f>
        <v>1060.5</v>
      </c>
      <c r="Q113" s="61">
        <f t="shared" ref="Q113" si="84">P113+N113</f>
        <v>2434.7678249999999</v>
      </c>
      <c r="R113" s="142"/>
      <c r="S113" s="108">
        <f t="shared" ref="S113" si="85">((((N113*(1+$D$7))+(P113*(1+$D$5+$D$6)))*(1+$D$8)))/I113</f>
        <v>29.125243314999992</v>
      </c>
      <c r="T113" s="107">
        <f t="shared" ref="T113" si="86">S113*I113</f>
        <v>3058.1505480749993</v>
      </c>
    </row>
    <row r="114" spans="1:20" s="7" customFormat="1" x14ac:dyDescent="0.2">
      <c r="A114" s="141">
        <f>IF(J114&lt;&gt;"",1+MAX($A$18:A113),"")</f>
        <v>64</v>
      </c>
      <c r="B114" s="49" t="s">
        <v>817</v>
      </c>
      <c r="C114" s="62" t="s">
        <v>817</v>
      </c>
      <c r="D114" s="95" t="s">
        <v>48</v>
      </c>
      <c r="E114" s="182" t="s">
        <v>82</v>
      </c>
      <c r="F114" s="176" t="s">
        <v>873</v>
      </c>
      <c r="G114" s="50">
        <v>75</v>
      </c>
      <c r="H114" s="51">
        <f>IF(VLOOKUP(J114,'HOURLY RATES'!B$116:C$124,2,0)=0,$J$3,VLOOKUP(J114,'HOURLY RATES'!B$116:C$124,2,0))</f>
        <v>0.05</v>
      </c>
      <c r="I114" s="52">
        <f t="shared" ref="I114:I115" si="87">(G114*(1+H114))</f>
        <v>78.75</v>
      </c>
      <c r="J114" s="94" t="s">
        <v>225</v>
      </c>
      <c r="K114" s="238">
        <v>0.13</v>
      </c>
      <c r="L114" s="59">
        <f t="shared" ref="L114:L115" si="88">K114*I114</f>
        <v>10.237500000000001</v>
      </c>
      <c r="M114" s="57">
        <f>IF(VLOOKUP(E114,'HOURLY RATES'!C$6:D$105,2,0)=0,$E$3,VLOOKUP(E114,'HOURLY RATES'!C$6:D$105,2,0))</f>
        <v>73.944999999999993</v>
      </c>
      <c r="N114" s="57">
        <f t="shared" ref="N114:N115" si="89">M114*L114</f>
        <v>757.01193749999993</v>
      </c>
      <c r="O114" s="60">
        <v>3.15</v>
      </c>
      <c r="P114" s="60">
        <f t="shared" si="83"/>
        <v>248.0625</v>
      </c>
      <c r="Q114" s="61">
        <f t="shared" ref="Q114:Q115" si="90">P114+N114</f>
        <v>1005.0744374999999</v>
      </c>
      <c r="R114" s="142"/>
      <c r="S114" s="108">
        <f t="shared" ref="S114:S115" si="91">((((N114*(1+$D$7))+(P114*(1+$D$5+$D$6)))*(1+$D$8)))/I114</f>
        <v>15.820210717499997</v>
      </c>
      <c r="T114" s="107">
        <f t="shared" ref="T114:T115" si="92">S114*I114</f>
        <v>1245.8415940031248</v>
      </c>
    </row>
    <row r="115" spans="1:20" s="7" customFormat="1" x14ac:dyDescent="0.2">
      <c r="A115" s="141">
        <f>IF(J115&lt;&gt;"",1+MAX($A$18:A114),"")</f>
        <v>65</v>
      </c>
      <c r="B115" s="49" t="s">
        <v>817</v>
      </c>
      <c r="C115" s="62" t="s">
        <v>817</v>
      </c>
      <c r="D115" s="95" t="s">
        <v>48</v>
      </c>
      <c r="E115" s="182" t="s">
        <v>82</v>
      </c>
      <c r="F115" s="176" t="s">
        <v>874</v>
      </c>
      <c r="G115" s="50">
        <v>110</v>
      </c>
      <c r="H115" s="51">
        <f>IF(VLOOKUP(J115,'HOURLY RATES'!B$116:C$124,2,0)=0,$J$3,VLOOKUP(J115,'HOURLY RATES'!B$116:C$124,2,0))</f>
        <v>0.05</v>
      </c>
      <c r="I115" s="52">
        <f t="shared" si="87"/>
        <v>115.5</v>
      </c>
      <c r="J115" s="94" t="s">
        <v>225</v>
      </c>
      <c r="K115" s="238">
        <v>0.17699999999999999</v>
      </c>
      <c r="L115" s="59">
        <f t="shared" si="88"/>
        <v>20.4435</v>
      </c>
      <c r="M115" s="57">
        <f>IF(VLOOKUP(E115,'HOURLY RATES'!C$6:D$105,2,0)=0,$E$3,VLOOKUP(E115,'HOURLY RATES'!C$6:D$105,2,0))</f>
        <v>73.944999999999993</v>
      </c>
      <c r="N115" s="57">
        <f t="shared" si="89"/>
        <v>1511.6946074999998</v>
      </c>
      <c r="O115" s="60">
        <v>10.1</v>
      </c>
      <c r="P115" s="60">
        <f t="shared" si="83"/>
        <v>1166.55</v>
      </c>
      <c r="Q115" s="61">
        <f t="shared" si="90"/>
        <v>2678.2446074999998</v>
      </c>
      <c r="R115" s="142"/>
      <c r="S115" s="108">
        <f t="shared" si="91"/>
        <v>29.125243314999995</v>
      </c>
      <c r="T115" s="107">
        <f t="shared" si="92"/>
        <v>3363.9656028824993</v>
      </c>
    </row>
    <row r="116" spans="1:20" s="7" customFormat="1" x14ac:dyDescent="0.2">
      <c r="A116" s="141" t="str">
        <f>IF(J116&lt;&gt;"",1+MAX($A$18:A115),"")</f>
        <v/>
      </c>
      <c r="B116" s="97"/>
      <c r="C116" s="101"/>
      <c r="D116" s="95"/>
      <c r="E116" s="183"/>
      <c r="F116" s="120" t="s">
        <v>223</v>
      </c>
      <c r="G116" s="96"/>
      <c r="H116" s="99"/>
      <c r="I116" s="100"/>
      <c r="J116" s="94"/>
      <c r="K116" s="239"/>
      <c r="L116" s="240"/>
      <c r="M116" s="241"/>
      <c r="N116" s="241"/>
      <c r="O116" s="242"/>
      <c r="P116" s="242"/>
      <c r="Q116" s="243"/>
      <c r="R116" s="109"/>
      <c r="S116" s="108"/>
      <c r="T116" s="107"/>
    </row>
    <row r="117" spans="1:20" s="7" customFormat="1" x14ac:dyDescent="0.2">
      <c r="A117" s="141" t="str">
        <f>IF(J117&lt;&gt;"",1+MAX($A$18:A116),"")</f>
        <v/>
      </c>
      <c r="B117" s="97"/>
      <c r="C117" s="101"/>
      <c r="D117" s="95"/>
      <c r="E117" s="183"/>
      <c r="F117" s="216" t="s">
        <v>875</v>
      </c>
      <c r="G117" s="96"/>
      <c r="H117" s="99"/>
      <c r="I117" s="100"/>
      <c r="J117" s="94"/>
      <c r="K117" s="239"/>
      <c r="L117" s="240"/>
      <c r="M117" s="241"/>
      <c r="N117" s="241"/>
      <c r="O117" s="242"/>
      <c r="P117" s="242"/>
      <c r="Q117" s="243"/>
      <c r="R117" s="109"/>
      <c r="S117" s="108"/>
      <c r="T117" s="107"/>
    </row>
    <row r="118" spans="1:20" s="7" customFormat="1" x14ac:dyDescent="0.2">
      <c r="A118" s="141" t="str">
        <f>IF(J118&lt;&gt;"",1+MAX($A$18:A117),"")</f>
        <v/>
      </c>
      <c r="B118" s="97"/>
      <c r="C118" s="101"/>
      <c r="D118" s="95"/>
      <c r="E118" s="183"/>
      <c r="F118" s="178" t="s">
        <v>718</v>
      </c>
      <c r="G118" s="96"/>
      <c r="H118" s="99"/>
      <c r="I118" s="100"/>
      <c r="J118" s="94"/>
      <c r="K118" s="239"/>
      <c r="L118" s="240"/>
      <c r="M118" s="241"/>
      <c r="N118" s="241"/>
      <c r="O118" s="242"/>
      <c r="P118" s="242"/>
      <c r="Q118" s="243"/>
      <c r="R118" s="109"/>
      <c r="S118" s="108"/>
      <c r="T118" s="107"/>
    </row>
    <row r="119" spans="1:20" s="7" customFormat="1" x14ac:dyDescent="0.2">
      <c r="A119" s="141" t="str">
        <f>IF(J119&lt;&gt;"",1+MAX($A$18:A118),"")</f>
        <v/>
      </c>
      <c r="B119" s="97"/>
      <c r="C119" s="101"/>
      <c r="D119" s="95"/>
      <c r="E119" s="183"/>
      <c r="F119" s="119" t="s">
        <v>718</v>
      </c>
      <c r="G119" s="96"/>
      <c r="H119" s="99"/>
      <c r="I119" s="100"/>
      <c r="J119" s="94"/>
      <c r="K119" s="239"/>
      <c r="L119" s="240"/>
      <c r="M119" s="241"/>
      <c r="N119" s="241"/>
      <c r="O119" s="242"/>
      <c r="P119" s="242"/>
      <c r="Q119" s="243"/>
      <c r="R119" s="109"/>
      <c r="S119" s="108"/>
      <c r="T119" s="107"/>
    </row>
    <row r="120" spans="1:20" s="7" customFormat="1" ht="47.25" x14ac:dyDescent="0.2">
      <c r="A120" s="141">
        <f>IF(J120&lt;&gt;"",1+MAX($A$18:A119),"")</f>
        <v>66</v>
      </c>
      <c r="B120" s="49" t="s">
        <v>817</v>
      </c>
      <c r="C120" s="62" t="s">
        <v>817</v>
      </c>
      <c r="D120" s="95" t="s">
        <v>48</v>
      </c>
      <c r="E120" s="182" t="s">
        <v>82</v>
      </c>
      <c r="F120" s="176" t="s">
        <v>876</v>
      </c>
      <c r="G120" s="50">
        <v>40</v>
      </c>
      <c r="H120" s="51">
        <f>IF(VLOOKUP(J120,'HOURLY RATES'!B$116:C$124,2,0)=0,$J$3,VLOOKUP(J120,'HOURLY RATES'!B$116:C$124,2,0))</f>
        <v>0</v>
      </c>
      <c r="I120" s="52">
        <f t="shared" ref="I120" si="93">(G120*(1+H120))</f>
        <v>40</v>
      </c>
      <c r="J120" s="94" t="s">
        <v>226</v>
      </c>
      <c r="K120" s="238">
        <v>1.2035</v>
      </c>
      <c r="L120" s="59">
        <f t="shared" ref="L120:L137" si="94">K120*I120</f>
        <v>48.14</v>
      </c>
      <c r="M120" s="57">
        <f>IF(VLOOKUP(E120,'HOURLY RATES'!C$6:D$105,2,0)=0,$E$3,VLOOKUP(E120,'HOURLY RATES'!C$6:D$105,2,0))</f>
        <v>73.944999999999993</v>
      </c>
      <c r="N120" s="57">
        <f t="shared" ref="N120:N137" si="95">M120*L120</f>
        <v>3559.7122999999997</v>
      </c>
      <c r="O120" s="60">
        <v>21.75</v>
      </c>
      <c r="P120" s="60">
        <f t="shared" ref="P120:P137" si="96">O120*I120</f>
        <v>870</v>
      </c>
      <c r="Q120" s="61">
        <f t="shared" ref="Q120:Q137" si="97">P120+N120</f>
        <v>4429.7122999999992</v>
      </c>
      <c r="R120" s="142"/>
      <c r="S120" s="108">
        <f t="shared" ref="S120:S137" si="98">((((N120*(1+$D$7))+(P120*(1+$D$5+$D$6)))*(1+$D$8)))/I120</f>
        <v>136.78395932249995</v>
      </c>
      <c r="T120" s="107">
        <f t="shared" ref="T120:T137" si="99">S120*I120</f>
        <v>5471.3583728999984</v>
      </c>
    </row>
    <row r="121" spans="1:20" s="7" customFormat="1" x14ac:dyDescent="0.2">
      <c r="A121" s="141">
        <f>IF(J121&lt;&gt;"",1+MAX($A$18:A120),"")</f>
        <v>67</v>
      </c>
      <c r="B121" s="97" t="s">
        <v>817</v>
      </c>
      <c r="C121" s="97" t="s">
        <v>817</v>
      </c>
      <c r="D121" s="95" t="s">
        <v>48</v>
      </c>
      <c r="E121" s="183" t="s">
        <v>82</v>
      </c>
      <c r="F121" s="117" t="s">
        <v>759</v>
      </c>
      <c r="G121" s="115">
        <v>40</v>
      </c>
      <c r="H121" s="51">
        <f>IF(VLOOKUP(J121,'HOURLY RATES'!B$116:C$124,2,0)=0,$J$3,VLOOKUP(J121,'HOURLY RATES'!B$116:C$124,2,0))</f>
        <v>0</v>
      </c>
      <c r="I121" s="52">
        <f t="shared" ref="I121:I122" si="100">(G121*(1+H121))</f>
        <v>40</v>
      </c>
      <c r="J121" s="94" t="s">
        <v>226</v>
      </c>
      <c r="K121" s="238">
        <v>0.21199999999999999</v>
      </c>
      <c r="L121" s="59">
        <f t="shared" si="94"/>
        <v>8.48</v>
      </c>
      <c r="M121" s="57">
        <f>IF(VLOOKUP(E121,'HOURLY RATES'!C$6:D$105,2,0)=0,$E$3,VLOOKUP(E121,'HOURLY RATES'!C$6:D$105,2,0))</f>
        <v>73.944999999999993</v>
      </c>
      <c r="N121" s="57">
        <f t="shared" si="95"/>
        <v>627.05359999999996</v>
      </c>
      <c r="O121" s="60">
        <v>24</v>
      </c>
      <c r="P121" s="242">
        <f t="shared" si="96"/>
        <v>960</v>
      </c>
      <c r="Q121" s="61">
        <f t="shared" si="97"/>
        <v>1587.0536</v>
      </c>
      <c r="R121" s="142"/>
      <c r="S121" s="108">
        <f t="shared" si="98"/>
        <v>50.421472919999999</v>
      </c>
      <c r="T121" s="107">
        <f t="shared" si="99"/>
        <v>2016.8589167999999</v>
      </c>
    </row>
    <row r="122" spans="1:20" s="7" customFormat="1" x14ac:dyDescent="0.2">
      <c r="A122" s="141">
        <f>IF(J122&lt;&gt;"",1+MAX($A$18:A121),"")</f>
        <v>68</v>
      </c>
      <c r="B122" s="97" t="s">
        <v>817</v>
      </c>
      <c r="C122" s="97" t="s">
        <v>817</v>
      </c>
      <c r="D122" s="95" t="s">
        <v>48</v>
      </c>
      <c r="E122" s="183" t="s">
        <v>82</v>
      </c>
      <c r="F122" s="117" t="s">
        <v>760</v>
      </c>
      <c r="G122" s="115">
        <v>400</v>
      </c>
      <c r="H122" s="51">
        <f>IF(VLOOKUP(J122,'HOURLY RATES'!B$116:C$124,2,0)=0,$J$3,VLOOKUP(J122,'HOURLY RATES'!B$116:C$124,2,0))</f>
        <v>0.05</v>
      </c>
      <c r="I122" s="52">
        <f t="shared" si="100"/>
        <v>420</v>
      </c>
      <c r="J122" s="94" t="s">
        <v>225</v>
      </c>
      <c r="K122" s="238">
        <v>8.0000000000000002E-3</v>
      </c>
      <c r="L122" s="59">
        <f t="shared" si="94"/>
        <v>3.36</v>
      </c>
      <c r="M122" s="57">
        <f>IF(VLOOKUP(E122,'HOURLY RATES'!C$6:D$105,2,0)=0,$E$3,VLOOKUP(E122,'HOURLY RATES'!C$6:D$105,2,0))</f>
        <v>73.944999999999993</v>
      </c>
      <c r="N122" s="57">
        <f t="shared" si="95"/>
        <v>248.45519999999996</v>
      </c>
      <c r="O122" s="60">
        <v>0.2</v>
      </c>
      <c r="P122" s="242">
        <f t="shared" si="96"/>
        <v>84</v>
      </c>
      <c r="Q122" s="61">
        <f t="shared" si="97"/>
        <v>332.45519999999999</v>
      </c>
      <c r="R122" s="142"/>
      <c r="S122" s="108">
        <f t="shared" si="98"/>
        <v>0.98158416999999965</v>
      </c>
      <c r="T122" s="107">
        <f t="shared" si="99"/>
        <v>412.26535139999987</v>
      </c>
    </row>
    <row r="123" spans="1:20" s="7" customFormat="1" x14ac:dyDescent="0.2">
      <c r="A123" s="141">
        <f>IF(J123&lt;&gt;"",1+MAX($A$18:A122),"")</f>
        <v>69</v>
      </c>
      <c r="B123" s="97" t="s">
        <v>817</v>
      </c>
      <c r="C123" s="97" t="s">
        <v>817</v>
      </c>
      <c r="D123" s="95" t="s">
        <v>48</v>
      </c>
      <c r="E123" s="183" t="s">
        <v>82</v>
      </c>
      <c r="F123" s="117" t="s">
        <v>877</v>
      </c>
      <c r="G123" s="115">
        <v>200</v>
      </c>
      <c r="H123" s="51">
        <f>IF(VLOOKUP(J123,'HOURLY RATES'!B$116:C$124,2,0)=0,$J$3,VLOOKUP(J123,'HOURLY RATES'!B$116:C$124,2,0))</f>
        <v>0.05</v>
      </c>
      <c r="I123" s="52">
        <f t="shared" ref="I123:I137" si="101">(G123*(1+H123))</f>
        <v>210</v>
      </c>
      <c r="J123" s="94" t="s">
        <v>225</v>
      </c>
      <c r="K123" s="238">
        <v>6.2E-2</v>
      </c>
      <c r="L123" s="59">
        <f t="shared" si="94"/>
        <v>13.02</v>
      </c>
      <c r="M123" s="57">
        <f>IF(VLOOKUP(E123,'HOURLY RATES'!C$6:D$105,2,0)=0,$E$3,VLOOKUP(E123,'HOURLY RATES'!C$6:D$105,2,0))</f>
        <v>73.944999999999993</v>
      </c>
      <c r="N123" s="57">
        <f t="shared" si="95"/>
        <v>962.76389999999992</v>
      </c>
      <c r="O123" s="60">
        <v>2.44</v>
      </c>
      <c r="P123" s="242">
        <f t="shared" si="96"/>
        <v>512.4</v>
      </c>
      <c r="Q123" s="61">
        <f t="shared" si="97"/>
        <v>1475.1639</v>
      </c>
      <c r="R123" s="142"/>
      <c r="S123" s="108">
        <f t="shared" si="98"/>
        <v>8.7690125180000003</v>
      </c>
      <c r="T123" s="107">
        <f t="shared" si="99"/>
        <v>1841.4926287800001</v>
      </c>
    </row>
    <row r="124" spans="1:20" s="7" customFormat="1" ht="47.25" x14ac:dyDescent="0.2">
      <c r="A124" s="141">
        <f>IF(J124&lt;&gt;"",1+MAX($A$18:A123),"")</f>
        <v>70</v>
      </c>
      <c r="B124" s="49" t="s">
        <v>817</v>
      </c>
      <c r="C124" s="62" t="s">
        <v>817</v>
      </c>
      <c r="D124" s="95" t="s">
        <v>48</v>
      </c>
      <c r="E124" s="182" t="s">
        <v>82</v>
      </c>
      <c r="F124" s="176" t="s">
        <v>878</v>
      </c>
      <c r="G124" s="50">
        <v>2</v>
      </c>
      <c r="H124" s="51">
        <f>IF(VLOOKUP(J124,'HOURLY RATES'!B$116:C$124,2,0)=0,$J$3,VLOOKUP(J124,'HOURLY RATES'!B$116:C$124,2,0))</f>
        <v>0</v>
      </c>
      <c r="I124" s="52">
        <f t="shared" si="101"/>
        <v>2</v>
      </c>
      <c r="J124" s="94" t="s">
        <v>226</v>
      </c>
      <c r="K124" s="238">
        <v>0.78849999999999998</v>
      </c>
      <c r="L124" s="59">
        <f t="shared" si="94"/>
        <v>1.577</v>
      </c>
      <c r="M124" s="57">
        <f>IF(VLOOKUP(E124,'HOURLY RATES'!C$6:D$105,2,0)=0,$E$3,VLOOKUP(E124,'HOURLY RATES'!C$6:D$105,2,0))</f>
        <v>73.944999999999993</v>
      </c>
      <c r="N124" s="57">
        <f t="shared" si="95"/>
        <v>116.61126499999999</v>
      </c>
      <c r="O124" s="60">
        <v>14.25</v>
      </c>
      <c r="P124" s="60">
        <f t="shared" si="96"/>
        <v>28.5</v>
      </c>
      <c r="Q124" s="61">
        <f t="shared" si="97"/>
        <v>145.111265</v>
      </c>
      <c r="R124" s="142"/>
      <c r="S124" s="108">
        <f t="shared" si="98"/>
        <v>89.61707679749999</v>
      </c>
      <c r="T124" s="107">
        <f t="shared" si="99"/>
        <v>179.23415359499998</v>
      </c>
    </row>
    <row r="125" spans="1:20" s="7" customFormat="1" ht="47.25" x14ac:dyDescent="0.2">
      <c r="A125" s="141">
        <f>IF(J125&lt;&gt;"",1+MAX($A$18:A124),"")</f>
        <v>71</v>
      </c>
      <c r="B125" s="49" t="s">
        <v>817</v>
      </c>
      <c r="C125" s="62" t="s">
        <v>817</v>
      </c>
      <c r="D125" s="95" t="s">
        <v>48</v>
      </c>
      <c r="E125" s="182" t="s">
        <v>82</v>
      </c>
      <c r="F125" s="176" t="s">
        <v>816</v>
      </c>
      <c r="G125" s="50">
        <v>4</v>
      </c>
      <c r="H125" s="51">
        <f>IF(VLOOKUP(J125,'HOURLY RATES'!B$116:C$124,2,0)=0,$J$3,VLOOKUP(J125,'HOURLY RATES'!B$116:C$124,2,0))</f>
        <v>0</v>
      </c>
      <c r="I125" s="52">
        <f t="shared" si="101"/>
        <v>4</v>
      </c>
      <c r="J125" s="94" t="s">
        <v>226</v>
      </c>
      <c r="K125" s="238">
        <v>0.996</v>
      </c>
      <c r="L125" s="59">
        <f t="shared" si="94"/>
        <v>3.984</v>
      </c>
      <c r="M125" s="57">
        <f>IF(VLOOKUP(E125,'HOURLY RATES'!C$6:D$105,2,0)=0,$E$3,VLOOKUP(E125,'HOURLY RATES'!C$6:D$105,2,0))</f>
        <v>73.944999999999993</v>
      </c>
      <c r="N125" s="57">
        <f t="shared" si="95"/>
        <v>294.59688</v>
      </c>
      <c r="O125" s="60">
        <v>18</v>
      </c>
      <c r="P125" s="60">
        <f t="shared" si="96"/>
        <v>72</v>
      </c>
      <c r="Q125" s="61">
        <f t="shared" si="97"/>
        <v>366.59688</v>
      </c>
      <c r="R125" s="142"/>
      <c r="S125" s="108">
        <f t="shared" si="98"/>
        <v>113.20051805999998</v>
      </c>
      <c r="T125" s="107">
        <f t="shared" si="99"/>
        <v>452.80207223999992</v>
      </c>
    </row>
    <row r="126" spans="1:20" s="7" customFormat="1" ht="47.25" x14ac:dyDescent="0.2">
      <c r="A126" s="141">
        <f>IF(J126&lt;&gt;"",1+MAX($A$18:A125),"")</f>
        <v>72</v>
      </c>
      <c r="B126" s="49" t="s">
        <v>817</v>
      </c>
      <c r="C126" s="62" t="s">
        <v>817</v>
      </c>
      <c r="D126" s="95" t="s">
        <v>48</v>
      </c>
      <c r="E126" s="182" t="s">
        <v>82</v>
      </c>
      <c r="F126" s="176" t="s">
        <v>879</v>
      </c>
      <c r="G126" s="50">
        <v>5</v>
      </c>
      <c r="H126" s="51">
        <f>IF(VLOOKUP(J126,'HOURLY RATES'!B$116:C$124,2,0)=0,$J$3,VLOOKUP(J126,'HOURLY RATES'!B$116:C$124,2,0))</f>
        <v>0</v>
      </c>
      <c r="I126" s="52">
        <f t="shared" ref="I126:I135" si="102">(G126*(1+H126))</f>
        <v>5</v>
      </c>
      <c r="J126" s="94" t="s">
        <v>226</v>
      </c>
      <c r="K126" s="238">
        <v>1.2865</v>
      </c>
      <c r="L126" s="59">
        <f t="shared" si="94"/>
        <v>6.4325000000000001</v>
      </c>
      <c r="M126" s="57">
        <f>IF(VLOOKUP(E126,'HOURLY RATES'!C$6:D$105,2,0)=0,$E$3,VLOOKUP(E126,'HOURLY RATES'!C$6:D$105,2,0))</f>
        <v>73.944999999999993</v>
      </c>
      <c r="N126" s="57">
        <f t="shared" si="95"/>
        <v>475.65121249999999</v>
      </c>
      <c r="O126" s="60">
        <v>23.25</v>
      </c>
      <c r="P126" s="60">
        <f t="shared" si="96"/>
        <v>116.25</v>
      </c>
      <c r="Q126" s="61">
        <f t="shared" si="97"/>
        <v>591.90121249999993</v>
      </c>
      <c r="R126" s="142"/>
      <c r="S126" s="108">
        <f t="shared" si="98"/>
        <v>146.21733582749997</v>
      </c>
      <c r="T126" s="107">
        <f t="shared" si="99"/>
        <v>731.0866791374998</v>
      </c>
    </row>
    <row r="127" spans="1:20" s="7" customFormat="1" ht="47.25" x14ac:dyDescent="0.2">
      <c r="A127" s="141">
        <f>IF(J127&lt;&gt;"",1+MAX($A$18:A126),"")</f>
        <v>73</v>
      </c>
      <c r="B127" s="49" t="s">
        <v>817</v>
      </c>
      <c r="C127" s="62" t="s">
        <v>817</v>
      </c>
      <c r="D127" s="95" t="s">
        <v>48</v>
      </c>
      <c r="E127" s="182" t="s">
        <v>82</v>
      </c>
      <c r="F127" s="176" t="s">
        <v>880</v>
      </c>
      <c r="G127" s="50">
        <v>27</v>
      </c>
      <c r="H127" s="51">
        <f>IF(VLOOKUP(J127,'HOURLY RATES'!B$116:C$124,2,0)=0,$J$3,VLOOKUP(J127,'HOURLY RATES'!B$116:C$124,2,0))</f>
        <v>0</v>
      </c>
      <c r="I127" s="52">
        <f t="shared" si="102"/>
        <v>27</v>
      </c>
      <c r="J127" s="94" t="s">
        <v>226</v>
      </c>
      <c r="K127" s="238">
        <v>0.99591699999999994</v>
      </c>
      <c r="L127" s="59">
        <f t="shared" si="94"/>
        <v>26.889758999999998</v>
      </c>
      <c r="M127" s="57">
        <f>IF(VLOOKUP(E127,'HOURLY RATES'!C$6:D$105,2,0)=0,$E$3,VLOOKUP(E127,'HOURLY RATES'!C$6:D$105,2,0))</f>
        <v>73.944999999999993</v>
      </c>
      <c r="N127" s="57">
        <f t="shared" si="95"/>
        <v>1988.3632292549996</v>
      </c>
      <c r="O127" s="60">
        <v>17.9985</v>
      </c>
      <c r="P127" s="60">
        <f t="shared" si="96"/>
        <v>485.95949999999999</v>
      </c>
      <c r="Q127" s="61">
        <f t="shared" si="97"/>
        <v>2474.3227292549996</v>
      </c>
      <c r="R127" s="142"/>
      <c r="S127" s="108">
        <f t="shared" si="98"/>
        <v>113.19108468349496</v>
      </c>
      <c r="T127" s="107">
        <f t="shared" si="99"/>
        <v>3056.1592864543641</v>
      </c>
    </row>
    <row r="128" spans="1:20" s="7" customFormat="1" ht="47.25" x14ac:dyDescent="0.2">
      <c r="A128" s="141">
        <f>IF(J128&lt;&gt;"",1+MAX($A$18:A127),"")</f>
        <v>74</v>
      </c>
      <c r="B128" s="49" t="s">
        <v>817</v>
      </c>
      <c r="C128" s="62" t="s">
        <v>817</v>
      </c>
      <c r="D128" s="95" t="s">
        <v>48</v>
      </c>
      <c r="E128" s="182" t="s">
        <v>82</v>
      </c>
      <c r="F128" s="176" t="s">
        <v>881</v>
      </c>
      <c r="G128" s="50">
        <v>2</v>
      </c>
      <c r="H128" s="51">
        <f>IF(VLOOKUP(J128,'HOURLY RATES'!B$116:C$124,2,0)=0,$J$3,VLOOKUP(J128,'HOURLY RATES'!B$116:C$124,2,0))</f>
        <v>0</v>
      </c>
      <c r="I128" s="52">
        <f t="shared" si="102"/>
        <v>2</v>
      </c>
      <c r="J128" s="94" t="s">
        <v>226</v>
      </c>
      <c r="K128" s="238">
        <v>1.7430000000000001</v>
      </c>
      <c r="L128" s="59">
        <f t="shared" si="94"/>
        <v>3.4860000000000002</v>
      </c>
      <c r="M128" s="57">
        <f>IF(VLOOKUP(E128,'HOURLY RATES'!C$6:D$105,2,0)=0,$E$3,VLOOKUP(E128,'HOURLY RATES'!C$6:D$105,2,0))</f>
        <v>73.944999999999993</v>
      </c>
      <c r="N128" s="57">
        <f t="shared" si="95"/>
        <v>257.77226999999999</v>
      </c>
      <c r="O128" s="60">
        <v>31.5</v>
      </c>
      <c r="P128" s="60">
        <f t="shared" si="96"/>
        <v>63</v>
      </c>
      <c r="Q128" s="61">
        <f t="shared" si="97"/>
        <v>320.77226999999999</v>
      </c>
      <c r="R128" s="142"/>
      <c r="S128" s="108">
        <f t="shared" si="98"/>
        <v>198.10090660499995</v>
      </c>
      <c r="T128" s="107">
        <f t="shared" si="99"/>
        <v>396.2018132099999</v>
      </c>
    </row>
    <row r="129" spans="1:20" s="7" customFormat="1" ht="47.25" x14ac:dyDescent="0.2">
      <c r="A129" s="141">
        <f>IF(J129&lt;&gt;"",1+MAX($A$18:A128),"")</f>
        <v>75</v>
      </c>
      <c r="B129" s="49" t="s">
        <v>817</v>
      </c>
      <c r="C129" s="62" t="s">
        <v>817</v>
      </c>
      <c r="D129" s="95" t="s">
        <v>48</v>
      </c>
      <c r="E129" s="182" t="s">
        <v>82</v>
      </c>
      <c r="F129" s="176" t="s">
        <v>882</v>
      </c>
      <c r="G129" s="50">
        <v>3</v>
      </c>
      <c r="H129" s="51">
        <f>IF(VLOOKUP(J129,'HOURLY RATES'!B$116:C$124,2,0)=0,$J$3,VLOOKUP(J129,'HOURLY RATES'!B$116:C$124,2,0))</f>
        <v>0</v>
      </c>
      <c r="I129" s="52">
        <f t="shared" si="102"/>
        <v>3</v>
      </c>
      <c r="J129" s="94" t="s">
        <v>226</v>
      </c>
      <c r="K129" s="238">
        <v>1.1205000000000001</v>
      </c>
      <c r="L129" s="59">
        <f t="shared" ref="L129:L134" si="103">K129*I129</f>
        <v>3.3615000000000004</v>
      </c>
      <c r="M129" s="57">
        <f>IF(VLOOKUP(E129,'HOURLY RATES'!C$6:D$105,2,0)=0,$E$3,VLOOKUP(E129,'HOURLY RATES'!C$6:D$105,2,0))</f>
        <v>73.944999999999993</v>
      </c>
      <c r="N129" s="57">
        <f t="shared" ref="N129:N134" si="104">M129*L129</f>
        <v>248.56611750000002</v>
      </c>
      <c r="O129" s="60">
        <v>20.25</v>
      </c>
      <c r="P129" s="60">
        <f t="shared" si="96"/>
        <v>60.75</v>
      </c>
      <c r="Q129" s="61">
        <f t="shared" ref="Q129:Q134" si="105">P129+N129</f>
        <v>309.31611750000002</v>
      </c>
      <c r="R129" s="142"/>
      <c r="S129" s="108">
        <f t="shared" ref="S129:S134" si="106">((((N129*(1+$D$7))+(P129*(1+$D$5+$D$6)))*(1+$D$8)))/I129</f>
        <v>127.35058281749998</v>
      </c>
      <c r="T129" s="107">
        <f t="shared" ref="T129:T134" si="107">S129*I129</f>
        <v>382.05174845249996</v>
      </c>
    </row>
    <row r="130" spans="1:20" s="7" customFormat="1" ht="47.25" x14ac:dyDescent="0.2">
      <c r="A130" s="141">
        <f>IF(J130&lt;&gt;"",1+MAX($A$18:A129),"")</f>
        <v>76</v>
      </c>
      <c r="B130" s="49" t="s">
        <v>817</v>
      </c>
      <c r="C130" s="62" t="s">
        <v>817</v>
      </c>
      <c r="D130" s="95" t="s">
        <v>48</v>
      </c>
      <c r="E130" s="182" t="s">
        <v>82</v>
      </c>
      <c r="F130" s="176" t="s">
        <v>883</v>
      </c>
      <c r="G130" s="50">
        <v>8</v>
      </c>
      <c r="H130" s="51">
        <f>IF(VLOOKUP(J130,'HOURLY RATES'!B$116:C$124,2,0)=0,$J$3,VLOOKUP(J130,'HOURLY RATES'!B$116:C$124,2,0))</f>
        <v>0</v>
      </c>
      <c r="I130" s="52">
        <f t="shared" si="102"/>
        <v>8</v>
      </c>
      <c r="J130" s="94" t="s">
        <v>226</v>
      </c>
      <c r="K130" s="238">
        <v>0.91300000000000003</v>
      </c>
      <c r="L130" s="59">
        <f t="shared" si="103"/>
        <v>7.3040000000000003</v>
      </c>
      <c r="M130" s="57">
        <f>IF(VLOOKUP(E130,'HOURLY RATES'!C$6:D$105,2,0)=0,$E$3,VLOOKUP(E130,'HOURLY RATES'!C$6:D$105,2,0))</f>
        <v>73.944999999999993</v>
      </c>
      <c r="N130" s="57">
        <f t="shared" si="104"/>
        <v>540.09428000000003</v>
      </c>
      <c r="O130" s="60">
        <v>16.5</v>
      </c>
      <c r="P130" s="60">
        <f t="shared" si="96"/>
        <v>132</v>
      </c>
      <c r="Q130" s="61">
        <f t="shared" si="105"/>
        <v>672.09428000000003</v>
      </c>
      <c r="R130" s="142"/>
      <c r="S130" s="108">
        <f t="shared" si="106"/>
        <v>103.76714155499999</v>
      </c>
      <c r="T130" s="107">
        <f t="shared" si="107"/>
        <v>830.13713243999996</v>
      </c>
    </row>
    <row r="131" spans="1:20" s="7" customFormat="1" ht="47.25" x14ac:dyDescent="0.2">
      <c r="A131" s="141">
        <f>IF(J131&lt;&gt;"",1+MAX($A$18:A130),"")</f>
        <v>77</v>
      </c>
      <c r="B131" s="49" t="s">
        <v>817</v>
      </c>
      <c r="C131" s="62" t="s">
        <v>817</v>
      </c>
      <c r="D131" s="95" t="s">
        <v>48</v>
      </c>
      <c r="E131" s="182" t="s">
        <v>82</v>
      </c>
      <c r="F131" s="176" t="s">
        <v>884</v>
      </c>
      <c r="G131" s="50">
        <v>4</v>
      </c>
      <c r="H131" s="51">
        <f>IF(VLOOKUP(J131,'HOURLY RATES'!B$116:C$124,2,0)=0,$J$3,VLOOKUP(J131,'HOURLY RATES'!B$116:C$124,2,0))</f>
        <v>0</v>
      </c>
      <c r="I131" s="52">
        <f t="shared" si="102"/>
        <v>4</v>
      </c>
      <c r="J131" s="94" t="s">
        <v>226</v>
      </c>
      <c r="K131" s="238">
        <v>1.3694999999999999</v>
      </c>
      <c r="L131" s="59">
        <f t="shared" si="103"/>
        <v>5.4779999999999998</v>
      </c>
      <c r="M131" s="57">
        <f>IF(VLOOKUP(E131,'HOURLY RATES'!C$6:D$105,2,0)=0,$E$3,VLOOKUP(E131,'HOURLY RATES'!C$6:D$105,2,0))</f>
        <v>73.944999999999993</v>
      </c>
      <c r="N131" s="57">
        <f t="shared" si="104"/>
        <v>405.07070999999996</v>
      </c>
      <c r="O131" s="60">
        <v>24.75</v>
      </c>
      <c r="P131" s="60">
        <f t="shared" si="96"/>
        <v>99</v>
      </c>
      <c r="Q131" s="61">
        <f t="shared" si="105"/>
        <v>504.07070999999996</v>
      </c>
      <c r="R131" s="142"/>
      <c r="S131" s="108">
        <f t="shared" si="106"/>
        <v>155.65071233249998</v>
      </c>
      <c r="T131" s="107">
        <f t="shared" si="107"/>
        <v>622.60284932999991</v>
      </c>
    </row>
    <row r="132" spans="1:20" s="7" customFormat="1" ht="47.25" x14ac:dyDescent="0.2">
      <c r="A132" s="141">
        <f>IF(J132&lt;&gt;"",1+MAX($A$18:A131),"")</f>
        <v>78</v>
      </c>
      <c r="B132" s="49" t="s">
        <v>817</v>
      </c>
      <c r="C132" s="62" t="s">
        <v>817</v>
      </c>
      <c r="D132" s="95" t="s">
        <v>48</v>
      </c>
      <c r="E132" s="182" t="s">
        <v>82</v>
      </c>
      <c r="F132" s="176" t="s">
        <v>885</v>
      </c>
      <c r="G132" s="50">
        <v>3</v>
      </c>
      <c r="H132" s="51">
        <f>IF(VLOOKUP(J132,'HOURLY RATES'!B$116:C$124,2,0)=0,$J$3,VLOOKUP(J132,'HOURLY RATES'!B$116:C$124,2,0))</f>
        <v>0</v>
      </c>
      <c r="I132" s="52">
        <f t="shared" ref="I132:I134" si="108">(G132*(1+H132))</f>
        <v>3</v>
      </c>
      <c r="J132" s="94" t="s">
        <v>226</v>
      </c>
      <c r="K132" s="238">
        <v>0.70550000000000002</v>
      </c>
      <c r="L132" s="59">
        <f t="shared" si="103"/>
        <v>2.1165000000000003</v>
      </c>
      <c r="M132" s="57">
        <f>IF(VLOOKUP(E132,'HOURLY RATES'!C$6:D$105,2,0)=0,$E$3,VLOOKUP(E132,'HOURLY RATES'!C$6:D$105,2,0))</f>
        <v>73.944999999999993</v>
      </c>
      <c r="N132" s="57">
        <f t="shared" si="104"/>
        <v>156.5045925</v>
      </c>
      <c r="O132" s="60">
        <v>12.75</v>
      </c>
      <c r="P132" s="60">
        <f t="shared" si="96"/>
        <v>38.25</v>
      </c>
      <c r="Q132" s="61">
        <f t="shared" si="105"/>
        <v>194.7545925</v>
      </c>
      <c r="R132" s="142"/>
      <c r="S132" s="108">
        <f t="shared" si="106"/>
        <v>80.183700292499978</v>
      </c>
      <c r="T132" s="107">
        <f t="shared" si="107"/>
        <v>240.55110087749995</v>
      </c>
    </row>
    <row r="133" spans="1:20" s="7" customFormat="1" ht="47.25" x14ac:dyDescent="0.2">
      <c r="A133" s="141">
        <f>IF(J133&lt;&gt;"",1+MAX($A$18:A132),"")</f>
        <v>79</v>
      </c>
      <c r="B133" s="49" t="s">
        <v>817</v>
      </c>
      <c r="C133" s="62" t="s">
        <v>817</v>
      </c>
      <c r="D133" s="95" t="s">
        <v>48</v>
      </c>
      <c r="E133" s="182" t="s">
        <v>82</v>
      </c>
      <c r="F133" s="176" t="s">
        <v>886</v>
      </c>
      <c r="G133" s="50">
        <v>2</v>
      </c>
      <c r="H133" s="51">
        <f>IF(VLOOKUP(J133,'HOURLY RATES'!B$116:C$124,2,0)=0,$J$3,VLOOKUP(J133,'HOURLY RATES'!B$116:C$124,2,0))</f>
        <v>0</v>
      </c>
      <c r="I133" s="52">
        <f t="shared" si="108"/>
        <v>2</v>
      </c>
      <c r="J133" s="94" t="s">
        <v>226</v>
      </c>
      <c r="K133" s="238">
        <v>1.56</v>
      </c>
      <c r="L133" s="59">
        <f t="shared" si="103"/>
        <v>3.12</v>
      </c>
      <c r="M133" s="57">
        <f>IF(VLOOKUP(E133,'HOURLY RATES'!C$6:D$105,2,0)=0,$E$3,VLOOKUP(E133,'HOURLY RATES'!C$6:D$105,2,0))</f>
        <v>73.944999999999993</v>
      </c>
      <c r="N133" s="57">
        <f t="shared" si="104"/>
        <v>230.70839999999998</v>
      </c>
      <c r="O133" s="60">
        <v>15</v>
      </c>
      <c r="P133" s="60">
        <f t="shared" si="96"/>
        <v>30</v>
      </c>
      <c r="Q133" s="61">
        <f t="shared" si="105"/>
        <v>260.70839999999998</v>
      </c>
      <c r="R133" s="142"/>
      <c r="S133" s="108">
        <f t="shared" si="106"/>
        <v>160.08122234999996</v>
      </c>
      <c r="T133" s="107">
        <f t="shared" si="107"/>
        <v>320.16244469999992</v>
      </c>
    </row>
    <row r="134" spans="1:20" s="7" customFormat="1" ht="47.25" x14ac:dyDescent="0.2">
      <c r="A134" s="141">
        <f>IF(J134&lt;&gt;"",1+MAX($A$18:A133),"")</f>
        <v>80</v>
      </c>
      <c r="B134" s="49" t="s">
        <v>817</v>
      </c>
      <c r="C134" s="62" t="s">
        <v>817</v>
      </c>
      <c r="D134" s="95" t="s">
        <v>48</v>
      </c>
      <c r="E134" s="182" t="s">
        <v>82</v>
      </c>
      <c r="F134" s="176" t="s">
        <v>887</v>
      </c>
      <c r="G134" s="50">
        <v>4</v>
      </c>
      <c r="H134" s="51">
        <f>IF(VLOOKUP(J134,'HOURLY RATES'!B$116:C$124,2,0)=0,$J$3,VLOOKUP(J134,'HOURLY RATES'!B$116:C$124,2,0))</f>
        <v>0</v>
      </c>
      <c r="I134" s="52">
        <f t="shared" si="108"/>
        <v>4</v>
      </c>
      <c r="J134" s="94" t="s">
        <v>226</v>
      </c>
      <c r="K134" s="238">
        <v>1.56</v>
      </c>
      <c r="L134" s="59">
        <f t="shared" si="103"/>
        <v>6.24</v>
      </c>
      <c r="M134" s="57">
        <f>IF(VLOOKUP(E134,'HOURLY RATES'!C$6:D$105,2,0)=0,$E$3,VLOOKUP(E134,'HOURLY RATES'!C$6:D$105,2,0))</f>
        <v>73.944999999999993</v>
      </c>
      <c r="N134" s="57">
        <f t="shared" si="104"/>
        <v>461.41679999999997</v>
      </c>
      <c r="O134" s="60">
        <v>15</v>
      </c>
      <c r="P134" s="60">
        <f t="shared" si="96"/>
        <v>60</v>
      </c>
      <c r="Q134" s="61">
        <f t="shared" si="105"/>
        <v>521.41679999999997</v>
      </c>
      <c r="R134" s="142"/>
      <c r="S134" s="108">
        <f t="shared" si="106"/>
        <v>160.08122234999996</v>
      </c>
      <c r="T134" s="107">
        <f t="shared" si="107"/>
        <v>640.32488939999985</v>
      </c>
    </row>
    <row r="135" spans="1:20" s="7" customFormat="1" ht="47.25" x14ac:dyDescent="0.2">
      <c r="A135" s="141">
        <f>IF(J135&lt;&gt;"",1+MAX($A$18:A134),"")</f>
        <v>81</v>
      </c>
      <c r="B135" s="49" t="s">
        <v>817</v>
      </c>
      <c r="C135" s="62" t="s">
        <v>817</v>
      </c>
      <c r="D135" s="95" t="s">
        <v>48</v>
      </c>
      <c r="E135" s="182" t="s">
        <v>82</v>
      </c>
      <c r="F135" s="176" t="s">
        <v>888</v>
      </c>
      <c r="G135" s="50">
        <v>3</v>
      </c>
      <c r="H135" s="51">
        <f>IF(VLOOKUP(J135,'HOURLY RATES'!B$116:C$124,2,0)=0,$J$3,VLOOKUP(J135,'HOURLY RATES'!B$116:C$124,2,0))</f>
        <v>0</v>
      </c>
      <c r="I135" s="52">
        <f t="shared" si="102"/>
        <v>3</v>
      </c>
      <c r="J135" s="94" t="s">
        <v>226</v>
      </c>
      <c r="K135" s="238">
        <v>2</v>
      </c>
      <c r="L135" s="59">
        <f t="shared" si="94"/>
        <v>6</v>
      </c>
      <c r="M135" s="57">
        <f>IF(VLOOKUP(E135,'HOURLY RATES'!C$6:D$105,2,0)=0,$E$3,VLOOKUP(E135,'HOURLY RATES'!C$6:D$105,2,0))</f>
        <v>73.944999999999993</v>
      </c>
      <c r="N135" s="57">
        <f t="shared" si="95"/>
        <v>443.66999999999996</v>
      </c>
      <c r="O135" s="60">
        <v>22</v>
      </c>
      <c r="P135" s="60">
        <f t="shared" si="96"/>
        <v>66</v>
      </c>
      <c r="Q135" s="61">
        <f t="shared" si="97"/>
        <v>509.66999999999996</v>
      </c>
      <c r="R135" s="142"/>
      <c r="S135" s="108">
        <f t="shared" si="98"/>
        <v>208.84706989999995</v>
      </c>
      <c r="T135" s="107">
        <f t="shared" si="99"/>
        <v>626.54120969999985</v>
      </c>
    </row>
    <row r="136" spans="1:20" s="7" customFormat="1" ht="47.25" x14ac:dyDescent="0.2">
      <c r="A136" s="141">
        <f>IF(J136&lt;&gt;"",1+MAX($A$18:A135),"")</f>
        <v>82</v>
      </c>
      <c r="B136" s="49" t="s">
        <v>817</v>
      </c>
      <c r="C136" s="62" t="s">
        <v>817</v>
      </c>
      <c r="D136" s="95" t="s">
        <v>48</v>
      </c>
      <c r="E136" s="182" t="s">
        <v>82</v>
      </c>
      <c r="F136" s="176" t="s">
        <v>889</v>
      </c>
      <c r="G136" s="50">
        <v>2</v>
      </c>
      <c r="H136" s="51">
        <f>IF(VLOOKUP(J136,'HOURLY RATES'!B$116:C$124,2,0)=0,$J$3,VLOOKUP(J136,'HOURLY RATES'!B$116:C$124,2,0))</f>
        <v>0</v>
      </c>
      <c r="I136" s="52">
        <f t="shared" ref="I136" si="109">(G136*(1+H136))</f>
        <v>2</v>
      </c>
      <c r="J136" s="94" t="s">
        <v>226</v>
      </c>
      <c r="K136" s="238">
        <v>3.4</v>
      </c>
      <c r="L136" s="59">
        <f t="shared" si="94"/>
        <v>6.8</v>
      </c>
      <c r="M136" s="57">
        <f>IF(VLOOKUP(E136,'HOURLY RATES'!C$6:D$105,2,0)=0,$E$3,VLOOKUP(E136,'HOURLY RATES'!C$6:D$105,2,0))</f>
        <v>73.944999999999993</v>
      </c>
      <c r="N136" s="57">
        <f t="shared" si="95"/>
        <v>502.82599999999996</v>
      </c>
      <c r="O136" s="60">
        <v>61.5</v>
      </c>
      <c r="P136" s="60">
        <f t="shared" si="96"/>
        <v>123</v>
      </c>
      <c r="Q136" s="61">
        <f t="shared" si="97"/>
        <v>625.82600000000002</v>
      </c>
      <c r="R136" s="142"/>
      <c r="S136" s="108">
        <f t="shared" si="98"/>
        <v>386.49824167499992</v>
      </c>
      <c r="T136" s="107">
        <f t="shared" si="99"/>
        <v>772.99648334999983</v>
      </c>
    </row>
    <row r="137" spans="1:20" s="7" customFormat="1" ht="47.25" x14ac:dyDescent="0.2">
      <c r="A137" s="141">
        <f>IF(J137&lt;&gt;"",1+MAX($A$18:A136),"")</f>
        <v>83</v>
      </c>
      <c r="B137" s="49" t="s">
        <v>817</v>
      </c>
      <c r="C137" s="62" t="s">
        <v>817</v>
      </c>
      <c r="D137" s="95" t="s">
        <v>48</v>
      </c>
      <c r="E137" s="182" t="s">
        <v>82</v>
      </c>
      <c r="F137" s="176" t="s">
        <v>890</v>
      </c>
      <c r="G137" s="50">
        <v>2</v>
      </c>
      <c r="H137" s="51">
        <f>IF(VLOOKUP(J137,'HOURLY RATES'!B$116:C$124,2,0)=0,$J$3,VLOOKUP(J137,'HOURLY RATES'!B$116:C$124,2,0))</f>
        <v>0</v>
      </c>
      <c r="I137" s="52">
        <f t="shared" si="101"/>
        <v>2</v>
      </c>
      <c r="J137" s="94" t="s">
        <v>226</v>
      </c>
      <c r="K137" s="238">
        <v>3.35</v>
      </c>
      <c r="L137" s="59">
        <f t="shared" si="94"/>
        <v>6.7</v>
      </c>
      <c r="M137" s="57">
        <f>IF(VLOOKUP(E137,'HOURLY RATES'!C$6:D$105,2,0)=0,$E$3,VLOOKUP(E137,'HOURLY RATES'!C$6:D$105,2,0))</f>
        <v>73.944999999999993</v>
      </c>
      <c r="N137" s="57">
        <f t="shared" si="95"/>
        <v>495.43149999999997</v>
      </c>
      <c r="O137" s="60">
        <v>47.25</v>
      </c>
      <c r="P137" s="60">
        <f t="shared" si="96"/>
        <v>94.5</v>
      </c>
      <c r="Q137" s="61">
        <f t="shared" si="97"/>
        <v>589.93149999999991</v>
      </c>
      <c r="R137" s="142"/>
      <c r="S137" s="108">
        <f t="shared" si="98"/>
        <v>363.39417476249997</v>
      </c>
      <c r="T137" s="107">
        <f t="shared" si="99"/>
        <v>726.78834952499994</v>
      </c>
    </row>
    <row r="138" spans="1:20" s="7" customFormat="1" x14ac:dyDescent="0.2">
      <c r="A138" s="141" t="str">
        <f>IF(J138&lt;&gt;"",1+MAX($A$18:A137),"")</f>
        <v/>
      </c>
      <c r="B138" s="97"/>
      <c r="C138" s="97"/>
      <c r="D138" s="95"/>
      <c r="E138" s="183"/>
      <c r="F138" s="120" t="s">
        <v>223</v>
      </c>
      <c r="G138" s="102"/>
      <c r="H138" s="99"/>
      <c r="I138" s="100"/>
      <c r="J138" s="94"/>
      <c r="K138" s="239"/>
      <c r="L138" s="240"/>
      <c r="M138" s="241"/>
      <c r="N138" s="241"/>
      <c r="O138" s="242"/>
      <c r="P138" s="242"/>
      <c r="Q138" s="243"/>
      <c r="R138" s="109"/>
      <c r="S138" s="108"/>
      <c r="T138" s="107"/>
    </row>
    <row r="139" spans="1:20" s="7" customFormat="1" x14ac:dyDescent="0.2">
      <c r="A139" s="141" t="str">
        <f>IF(J139&lt;&gt;"",1+MAX($A$18:A138),"")</f>
        <v/>
      </c>
      <c r="B139" s="97"/>
      <c r="C139" s="101"/>
      <c r="D139" s="95"/>
      <c r="E139" s="183"/>
      <c r="F139" s="119" t="s">
        <v>735</v>
      </c>
      <c r="G139" s="96"/>
      <c r="H139" s="99"/>
      <c r="I139" s="100"/>
      <c r="J139" s="94"/>
      <c r="K139" s="239"/>
      <c r="L139" s="240"/>
      <c r="M139" s="241"/>
      <c r="N139" s="241"/>
      <c r="O139" s="242"/>
      <c r="P139" s="242"/>
      <c r="Q139" s="243"/>
      <c r="R139" s="109"/>
      <c r="S139" s="108"/>
      <c r="T139" s="107"/>
    </row>
    <row r="140" spans="1:20" s="7" customFormat="1" x14ac:dyDescent="0.2">
      <c r="A140" s="141">
        <f>IF(J140&lt;&gt;"",1+MAX($A$18:A139),"")</f>
        <v>84</v>
      </c>
      <c r="B140" s="49" t="s">
        <v>817</v>
      </c>
      <c r="C140" s="62" t="s">
        <v>817</v>
      </c>
      <c r="D140" s="95" t="s">
        <v>48</v>
      </c>
      <c r="E140" s="182" t="s">
        <v>82</v>
      </c>
      <c r="F140" s="176" t="s">
        <v>891</v>
      </c>
      <c r="G140" s="50">
        <v>8</v>
      </c>
      <c r="H140" s="51">
        <f>IF(VLOOKUP(J140,'HOURLY RATES'!B$116:C$124,2,0)=0,$J$3,VLOOKUP(J140,'HOURLY RATES'!B$116:C$124,2,0))</f>
        <v>0</v>
      </c>
      <c r="I140" s="52">
        <f t="shared" ref="I140:I143" si="110">(G140*(1+H140))</f>
        <v>8</v>
      </c>
      <c r="J140" s="94" t="s">
        <v>226</v>
      </c>
      <c r="K140" s="238">
        <v>0.21199999999999999</v>
      </c>
      <c r="L140" s="59">
        <f t="shared" ref="L140:L143" si="111">K140*I140</f>
        <v>1.696</v>
      </c>
      <c r="M140" s="57">
        <f>IF(VLOOKUP(E140,'HOURLY RATES'!C$6:D$105,2,0)=0,$E$3,VLOOKUP(E140,'HOURLY RATES'!C$6:D$105,2,0))</f>
        <v>73.944999999999993</v>
      </c>
      <c r="N140" s="57">
        <f t="shared" ref="N140:N143" si="112">M140*L140</f>
        <v>125.41071999999998</v>
      </c>
      <c r="O140" s="60">
        <v>1.7999999999999998</v>
      </c>
      <c r="P140" s="60">
        <f t="shared" ref="P140:P143" si="113">O140*I140</f>
        <v>14.399999999999999</v>
      </c>
      <c r="Q140" s="61">
        <f t="shared" ref="Q140:Q143" si="114">P140+N140</f>
        <v>139.81071999999998</v>
      </c>
      <c r="R140" s="142"/>
      <c r="S140" s="108">
        <f t="shared" ref="S140:S143" si="115">((((N140*(1+$D$7))+(P140*(1+$D$5+$D$6)))*(1+$D$8)))/I140</f>
        <v>21.443358929999995</v>
      </c>
      <c r="T140" s="107">
        <f t="shared" ref="T140:T143" si="116">S140*I140</f>
        <v>171.54687143999996</v>
      </c>
    </row>
    <row r="141" spans="1:20" s="7" customFormat="1" x14ac:dyDescent="0.2">
      <c r="A141" s="141">
        <f>IF(J141&lt;&gt;"",1+MAX($A$18:A140),"")</f>
        <v>85</v>
      </c>
      <c r="B141" s="49" t="s">
        <v>817</v>
      </c>
      <c r="C141" s="62" t="s">
        <v>817</v>
      </c>
      <c r="D141" s="95" t="s">
        <v>48</v>
      </c>
      <c r="E141" s="182" t="s">
        <v>82</v>
      </c>
      <c r="F141" s="176" t="s">
        <v>892</v>
      </c>
      <c r="G141" s="50">
        <v>12</v>
      </c>
      <c r="H141" s="51">
        <f>IF(VLOOKUP(J141,'HOURLY RATES'!B$116:C$124,2,0)=0,$J$3,VLOOKUP(J141,'HOURLY RATES'!B$116:C$124,2,0))</f>
        <v>0</v>
      </c>
      <c r="I141" s="52">
        <f t="shared" ref="I141:I142" si="117">(G141*(1+H141))</f>
        <v>12</v>
      </c>
      <c r="J141" s="94" t="s">
        <v>226</v>
      </c>
      <c r="K141" s="238">
        <v>0.35</v>
      </c>
      <c r="L141" s="59">
        <f t="shared" ref="L141:L142" si="118">K141*I141</f>
        <v>4.1999999999999993</v>
      </c>
      <c r="M141" s="57">
        <f>IF(VLOOKUP(E141,'HOURLY RATES'!C$6:D$105,2,0)=0,$E$3,VLOOKUP(E141,'HOURLY RATES'!C$6:D$105,2,0))</f>
        <v>73.944999999999993</v>
      </c>
      <c r="N141" s="57">
        <f t="shared" ref="N141:N142" si="119">M141*L141</f>
        <v>310.5689999999999</v>
      </c>
      <c r="O141" s="60">
        <v>6.75</v>
      </c>
      <c r="P141" s="60">
        <f t="shared" si="113"/>
        <v>81</v>
      </c>
      <c r="Q141" s="61">
        <f t="shared" ref="Q141:Q142" si="120">P141+N141</f>
        <v>391.5689999999999</v>
      </c>
      <c r="R141" s="142"/>
      <c r="S141" s="108">
        <f t="shared" ref="S141:S142" si="121">((((N141*(1+$D$7))+(P141*(1+$D$5+$D$6)))*(1+$D$8)))/I141</f>
        <v>40.333666537499987</v>
      </c>
      <c r="T141" s="107">
        <f t="shared" ref="T141:T142" si="122">S141*I141</f>
        <v>484.00399844999981</v>
      </c>
    </row>
    <row r="142" spans="1:20" s="7" customFormat="1" x14ac:dyDescent="0.2">
      <c r="A142" s="141">
        <f>IF(J142&lt;&gt;"",1+MAX($A$18:A141),"")</f>
        <v>86</v>
      </c>
      <c r="B142" s="49" t="s">
        <v>817</v>
      </c>
      <c r="C142" s="62" t="s">
        <v>817</v>
      </c>
      <c r="D142" s="95" t="s">
        <v>48</v>
      </c>
      <c r="E142" s="182" t="s">
        <v>82</v>
      </c>
      <c r="F142" s="176" t="s">
        <v>826</v>
      </c>
      <c r="G142" s="50">
        <v>1</v>
      </c>
      <c r="H142" s="51">
        <f>IF(VLOOKUP(J142,'HOURLY RATES'!B$116:C$124,2,0)=0,$J$3,VLOOKUP(J142,'HOURLY RATES'!B$116:C$124,2,0))</f>
        <v>0</v>
      </c>
      <c r="I142" s="52">
        <f t="shared" si="117"/>
        <v>1</v>
      </c>
      <c r="J142" s="94" t="s">
        <v>226</v>
      </c>
      <c r="K142" s="238">
        <v>0.45</v>
      </c>
      <c r="L142" s="59">
        <f t="shared" si="118"/>
        <v>0.45</v>
      </c>
      <c r="M142" s="57">
        <f>IF(VLOOKUP(E142,'HOURLY RATES'!C$6:D$105,2,0)=0,$E$3,VLOOKUP(E142,'HOURLY RATES'!C$6:D$105,2,0))</f>
        <v>73.944999999999993</v>
      </c>
      <c r="N142" s="57">
        <f t="shared" si="119"/>
        <v>33.27525</v>
      </c>
      <c r="O142" s="60">
        <v>9.75</v>
      </c>
      <c r="P142" s="60">
        <f t="shared" si="113"/>
        <v>9.75</v>
      </c>
      <c r="Q142" s="61">
        <f t="shared" si="120"/>
        <v>43.02525</v>
      </c>
      <c r="R142" s="142"/>
      <c r="S142" s="108">
        <f t="shared" si="121"/>
        <v>53.25612888749999</v>
      </c>
      <c r="T142" s="107">
        <f t="shared" si="122"/>
        <v>53.25612888749999</v>
      </c>
    </row>
    <row r="143" spans="1:20" s="7" customFormat="1" x14ac:dyDescent="0.2">
      <c r="A143" s="141">
        <f>IF(J143&lt;&gt;"",1+MAX($A$18:A142),"")</f>
        <v>87</v>
      </c>
      <c r="B143" s="49" t="s">
        <v>817</v>
      </c>
      <c r="C143" s="62" t="s">
        <v>817</v>
      </c>
      <c r="D143" s="95" t="s">
        <v>48</v>
      </c>
      <c r="E143" s="182" t="s">
        <v>82</v>
      </c>
      <c r="F143" s="176" t="s">
        <v>827</v>
      </c>
      <c r="G143" s="50">
        <v>1</v>
      </c>
      <c r="H143" s="51">
        <f>IF(VLOOKUP(J143,'HOURLY RATES'!B$116:C$124,2,0)=0,$J$3,VLOOKUP(J143,'HOURLY RATES'!B$116:C$124,2,0))</f>
        <v>0</v>
      </c>
      <c r="I143" s="52">
        <f t="shared" si="110"/>
        <v>1</v>
      </c>
      <c r="J143" s="94" t="s">
        <v>226</v>
      </c>
      <c r="K143" s="238">
        <v>1.1000000000000001</v>
      </c>
      <c r="L143" s="59">
        <f t="shared" si="111"/>
        <v>1.1000000000000001</v>
      </c>
      <c r="M143" s="57">
        <f>IF(VLOOKUP(E143,'HOURLY RATES'!C$6:D$105,2,0)=0,$E$3,VLOOKUP(E143,'HOURLY RATES'!C$6:D$105,2,0))</f>
        <v>73.944999999999993</v>
      </c>
      <c r="N143" s="57">
        <f t="shared" si="112"/>
        <v>81.339500000000001</v>
      </c>
      <c r="O143" s="60">
        <v>18</v>
      </c>
      <c r="P143" s="60">
        <f t="shared" si="113"/>
        <v>18</v>
      </c>
      <c r="Q143" s="61">
        <f t="shared" si="114"/>
        <v>99.339500000000001</v>
      </c>
      <c r="R143" s="142"/>
      <c r="S143" s="108">
        <f t="shared" si="115"/>
        <v>122.56727909999998</v>
      </c>
      <c r="T143" s="107">
        <f t="shared" si="116"/>
        <v>122.56727909999998</v>
      </c>
    </row>
    <row r="144" spans="1:20" s="7" customFormat="1" x14ac:dyDescent="0.2">
      <c r="A144" s="141" t="str">
        <f>IF(J144&lt;&gt;"",1+MAX($A$18:A143),"")</f>
        <v/>
      </c>
      <c r="B144" s="97"/>
      <c r="C144" s="101"/>
      <c r="D144" s="95"/>
      <c r="E144" s="183"/>
      <c r="F144" s="219" t="s">
        <v>893</v>
      </c>
      <c r="G144" s="218"/>
      <c r="H144" s="51"/>
      <c r="I144" s="52"/>
      <c r="J144" s="94"/>
      <c r="K144" s="238"/>
      <c r="L144" s="59"/>
      <c r="M144" s="57"/>
      <c r="N144" s="57"/>
      <c r="O144" s="60"/>
      <c r="P144" s="60"/>
      <c r="Q144" s="61"/>
      <c r="R144" s="109"/>
      <c r="S144" s="108"/>
      <c r="T144" s="107"/>
    </row>
    <row r="145" spans="1:20" s="7" customFormat="1" x14ac:dyDescent="0.2">
      <c r="A145" s="141" t="str">
        <f>IF(J145&lt;&gt;"",1+MAX($A$18:A144),"")</f>
        <v/>
      </c>
      <c r="B145" s="97"/>
      <c r="C145" s="101"/>
      <c r="D145" s="95"/>
      <c r="E145" s="183"/>
      <c r="F145" s="120" t="s">
        <v>223</v>
      </c>
      <c r="G145" s="96"/>
      <c r="H145" s="99"/>
      <c r="I145" s="100"/>
      <c r="J145" s="94"/>
      <c r="K145" s="239"/>
      <c r="L145" s="240"/>
      <c r="M145" s="241"/>
      <c r="N145" s="241"/>
      <c r="O145" s="242"/>
      <c r="P145" s="242"/>
      <c r="Q145" s="243"/>
      <c r="R145" s="109"/>
      <c r="S145" s="108"/>
      <c r="T145" s="107"/>
    </row>
    <row r="146" spans="1:20" s="7" customFormat="1" x14ac:dyDescent="0.2">
      <c r="A146" s="141" t="str">
        <f>IF(J146&lt;&gt;"",1+MAX($A$18:A145),"")</f>
        <v/>
      </c>
      <c r="B146" s="97"/>
      <c r="C146" s="101"/>
      <c r="D146" s="95"/>
      <c r="E146" s="183"/>
      <c r="F146" s="178" t="s">
        <v>720</v>
      </c>
      <c r="G146" s="96"/>
      <c r="H146" s="99"/>
      <c r="I146" s="100"/>
      <c r="J146" s="94"/>
      <c r="K146" s="239"/>
      <c r="L146" s="240"/>
      <c r="M146" s="241"/>
      <c r="N146" s="241"/>
      <c r="O146" s="242"/>
      <c r="P146" s="242"/>
      <c r="Q146" s="243"/>
      <c r="R146" s="109"/>
      <c r="S146" s="108"/>
      <c r="T146" s="107"/>
    </row>
    <row r="147" spans="1:20" s="7" customFormat="1" x14ac:dyDescent="0.2">
      <c r="A147" s="141" t="str">
        <f>IF(J147&lt;&gt;"",1+MAX($A$18:A146),"")</f>
        <v/>
      </c>
      <c r="B147" s="97"/>
      <c r="C147" s="101"/>
      <c r="D147" s="95"/>
      <c r="E147" s="183"/>
      <c r="F147" s="119" t="s">
        <v>719</v>
      </c>
      <c r="G147" s="96"/>
      <c r="H147" s="99"/>
      <c r="I147" s="100"/>
      <c r="J147" s="94"/>
      <c r="K147" s="239"/>
      <c r="L147" s="240"/>
      <c r="M147" s="241"/>
      <c r="N147" s="241"/>
      <c r="O147" s="242"/>
      <c r="P147" s="242"/>
      <c r="Q147" s="243"/>
      <c r="R147" s="109"/>
      <c r="S147" s="108"/>
      <c r="T147" s="107"/>
    </row>
    <row r="148" spans="1:20" s="7" customFormat="1" x14ac:dyDescent="0.2">
      <c r="A148" s="141">
        <f>IF(J148&lt;&gt;"",1+MAX($A$18:A147),"")</f>
        <v>88</v>
      </c>
      <c r="B148" s="49" t="s">
        <v>817</v>
      </c>
      <c r="C148" s="62" t="s">
        <v>817</v>
      </c>
      <c r="D148" s="95" t="s">
        <v>48</v>
      </c>
      <c r="E148" s="182" t="s">
        <v>82</v>
      </c>
      <c r="F148" s="176" t="s">
        <v>894</v>
      </c>
      <c r="G148" s="50">
        <v>42</v>
      </c>
      <c r="H148" s="51">
        <f>IF(VLOOKUP(J148,'HOURLY RATES'!B$116:C$124,2,0)=0,$J$3,VLOOKUP(J148,'HOURLY RATES'!B$116:C$124,2,0))</f>
        <v>0</v>
      </c>
      <c r="I148" s="52">
        <f t="shared" ref="I148:I150" si="123">(G148*(1+H148))</f>
        <v>42</v>
      </c>
      <c r="J148" s="94" t="s">
        <v>226</v>
      </c>
      <c r="K148" s="238">
        <v>0.2</v>
      </c>
      <c r="L148" s="59">
        <f t="shared" ref="L148:L150" si="124">K148*I148</f>
        <v>8.4</v>
      </c>
      <c r="M148" s="57">
        <f>IF(VLOOKUP(E148,'HOURLY RATES'!C$6:D$105,2,0)=0,$E$3,VLOOKUP(E148,'HOURLY RATES'!C$6:D$105,2,0))</f>
        <v>73.944999999999993</v>
      </c>
      <c r="N148" s="57">
        <f t="shared" ref="N148:N150" si="125">M148*L148</f>
        <v>621.13799999999992</v>
      </c>
      <c r="O148" s="60">
        <v>1.32</v>
      </c>
      <c r="P148" s="60">
        <f t="shared" ref="P148:P151" si="126">O148*I148</f>
        <v>55.440000000000005</v>
      </c>
      <c r="Q148" s="61">
        <f t="shared" ref="Q148:Q150" si="127">P148+N148</f>
        <v>676.57799999999997</v>
      </c>
      <c r="R148" s="142"/>
      <c r="S148" s="108">
        <f t="shared" ref="S148:S150" si="128">((((N148*(1+$D$7))+(P148*(1+$D$5+$D$6)))*(1+$D$8)))/I148</f>
        <v>19.736024993999997</v>
      </c>
      <c r="T148" s="107">
        <f t="shared" ref="T148:T150" si="129">S148*I148</f>
        <v>828.91304974799993</v>
      </c>
    </row>
    <row r="149" spans="1:20" s="7" customFormat="1" x14ac:dyDescent="0.2">
      <c r="A149" s="141">
        <f>IF(J149&lt;&gt;"",1+MAX($A$18:A148),"")</f>
        <v>89</v>
      </c>
      <c r="B149" s="49" t="s">
        <v>817</v>
      </c>
      <c r="C149" s="62" t="s">
        <v>817</v>
      </c>
      <c r="D149" s="95" t="s">
        <v>48</v>
      </c>
      <c r="E149" s="182" t="s">
        <v>82</v>
      </c>
      <c r="F149" s="176" t="s">
        <v>895</v>
      </c>
      <c r="G149" s="50">
        <v>8</v>
      </c>
      <c r="H149" s="51">
        <f>IF(VLOOKUP(J149,'HOURLY RATES'!B$116:C$124,2,0)=0,$J$3,VLOOKUP(J149,'HOURLY RATES'!B$116:C$124,2,0))</f>
        <v>0</v>
      </c>
      <c r="I149" s="52">
        <f t="shared" si="123"/>
        <v>8</v>
      </c>
      <c r="J149" s="94" t="s">
        <v>226</v>
      </c>
      <c r="K149" s="238">
        <v>0.21199999999999999</v>
      </c>
      <c r="L149" s="59">
        <f t="shared" si="124"/>
        <v>1.696</v>
      </c>
      <c r="M149" s="57">
        <f>IF(VLOOKUP(E149,'HOURLY RATES'!C$6:D$105,2,0)=0,$E$3,VLOOKUP(E149,'HOURLY RATES'!C$6:D$105,2,0))</f>
        <v>73.944999999999993</v>
      </c>
      <c r="N149" s="57">
        <f t="shared" si="125"/>
        <v>125.41071999999998</v>
      </c>
      <c r="O149" s="60">
        <v>3.3</v>
      </c>
      <c r="P149" s="60">
        <f t="shared" si="126"/>
        <v>26.4</v>
      </c>
      <c r="Q149" s="61">
        <f t="shared" si="127"/>
        <v>151.81071999999998</v>
      </c>
      <c r="R149" s="142"/>
      <c r="S149" s="108">
        <f t="shared" si="128"/>
        <v>23.401339604999993</v>
      </c>
      <c r="T149" s="107">
        <f t="shared" si="129"/>
        <v>187.21071683999995</v>
      </c>
    </row>
    <row r="150" spans="1:20" s="7" customFormat="1" x14ac:dyDescent="0.2">
      <c r="A150" s="141">
        <f>IF(J150&lt;&gt;"",1+MAX($A$18:A149),"")</f>
        <v>90</v>
      </c>
      <c r="B150" s="49" t="s">
        <v>817</v>
      </c>
      <c r="C150" s="62" t="s">
        <v>817</v>
      </c>
      <c r="D150" s="95" t="s">
        <v>48</v>
      </c>
      <c r="E150" s="182" t="s">
        <v>82</v>
      </c>
      <c r="F150" s="176" t="s">
        <v>896</v>
      </c>
      <c r="G150" s="50">
        <v>24</v>
      </c>
      <c r="H150" s="51">
        <f>IF(VLOOKUP(J150,'HOURLY RATES'!B$116:C$124,2,0)=0,$J$3,VLOOKUP(J150,'HOURLY RATES'!B$116:C$124,2,0))</f>
        <v>0</v>
      </c>
      <c r="I150" s="52">
        <f t="shared" si="123"/>
        <v>24</v>
      </c>
      <c r="J150" s="94" t="s">
        <v>226</v>
      </c>
      <c r="K150" s="238">
        <v>0.2</v>
      </c>
      <c r="L150" s="59">
        <f t="shared" si="124"/>
        <v>4.8000000000000007</v>
      </c>
      <c r="M150" s="57">
        <f>IF(VLOOKUP(E150,'HOURLY RATES'!C$6:D$105,2,0)=0,$E$3,VLOOKUP(E150,'HOURLY RATES'!C$6:D$105,2,0))</f>
        <v>73.944999999999993</v>
      </c>
      <c r="N150" s="57">
        <f t="shared" si="125"/>
        <v>354.93600000000004</v>
      </c>
      <c r="O150" s="60">
        <v>1.95</v>
      </c>
      <c r="P150" s="60">
        <f t="shared" si="126"/>
        <v>46.8</v>
      </c>
      <c r="Q150" s="61">
        <f t="shared" si="127"/>
        <v>401.73600000000005</v>
      </c>
      <c r="R150" s="142"/>
      <c r="S150" s="108">
        <f t="shared" si="128"/>
        <v>20.558376877499999</v>
      </c>
      <c r="T150" s="107">
        <f t="shared" si="129"/>
        <v>493.40104506</v>
      </c>
    </row>
    <row r="151" spans="1:20" s="7" customFormat="1" x14ac:dyDescent="0.2">
      <c r="A151" s="141">
        <f>IF(J151&lt;&gt;"",1+MAX($A$18:A150),"")</f>
        <v>91</v>
      </c>
      <c r="B151" s="49" t="s">
        <v>817</v>
      </c>
      <c r="C151" s="62" t="s">
        <v>817</v>
      </c>
      <c r="D151" s="95" t="s">
        <v>48</v>
      </c>
      <c r="E151" s="182" t="s">
        <v>82</v>
      </c>
      <c r="F151" s="176" t="s">
        <v>897</v>
      </c>
      <c r="G151" s="50">
        <v>4</v>
      </c>
      <c r="H151" s="51">
        <f>IF(VLOOKUP(J151,'HOURLY RATES'!B$116:C$124,2,0)=0,$J$3,VLOOKUP(J151,'HOURLY RATES'!B$116:C$124,2,0))</f>
        <v>0</v>
      </c>
      <c r="I151" s="52">
        <f t="shared" ref="I151" si="130">(G151*(1+H151))</f>
        <v>4</v>
      </c>
      <c r="J151" s="94" t="s">
        <v>226</v>
      </c>
      <c r="K151" s="238">
        <v>0.35</v>
      </c>
      <c r="L151" s="59">
        <f t="shared" ref="L151" si="131">K151*I151</f>
        <v>1.4</v>
      </c>
      <c r="M151" s="57">
        <f>IF(VLOOKUP(E151,'HOURLY RATES'!C$6:D$105,2,0)=0,$E$3,VLOOKUP(E151,'HOURLY RATES'!C$6:D$105,2,0))</f>
        <v>73.944999999999993</v>
      </c>
      <c r="N151" s="57">
        <f t="shared" ref="N151" si="132">M151*L151</f>
        <v>103.52299999999998</v>
      </c>
      <c r="O151" s="60">
        <v>7.1999999999999993</v>
      </c>
      <c r="P151" s="60">
        <f t="shared" si="126"/>
        <v>28.799999999999997</v>
      </c>
      <c r="Q151" s="61">
        <f t="shared" ref="Q151" si="133">P151+N151</f>
        <v>132.32299999999998</v>
      </c>
      <c r="R151" s="142"/>
      <c r="S151" s="108">
        <f t="shared" ref="S151" si="134">((((N151*(1+$D$7))+(P151*(1+$D$5+$D$6)))*(1+$D$8)))/I151</f>
        <v>40.921060739999987</v>
      </c>
      <c r="T151" s="107">
        <f t="shared" ref="T151" si="135">S151*I151</f>
        <v>163.68424295999995</v>
      </c>
    </row>
    <row r="152" spans="1:20" s="7" customFormat="1" x14ac:dyDescent="0.2">
      <c r="A152" s="141" t="str">
        <f>IF(J152&lt;&gt;"",1+MAX($A$18:A151),"")</f>
        <v/>
      </c>
      <c r="B152" s="97"/>
      <c r="C152" s="101"/>
      <c r="D152" s="95"/>
      <c r="E152" s="183"/>
      <c r="F152" s="120" t="s">
        <v>223</v>
      </c>
      <c r="G152" s="102"/>
      <c r="H152" s="99"/>
      <c r="I152" s="100"/>
      <c r="J152" s="94"/>
      <c r="K152" s="239"/>
      <c r="L152" s="240"/>
      <c r="M152" s="241"/>
      <c r="N152" s="241"/>
      <c r="O152" s="242"/>
      <c r="P152" s="242"/>
      <c r="Q152" s="243"/>
      <c r="R152" s="109"/>
      <c r="S152" s="108"/>
      <c r="T152" s="107"/>
    </row>
    <row r="153" spans="1:20" s="7" customFormat="1" x14ac:dyDescent="0.2">
      <c r="A153" s="141" t="str">
        <f>IF(J153&lt;&gt;"",1+MAX($A$18:A152),"")</f>
        <v/>
      </c>
      <c r="B153" s="97"/>
      <c r="C153" s="101"/>
      <c r="D153" s="95"/>
      <c r="E153" s="183"/>
      <c r="F153" s="119" t="s">
        <v>721</v>
      </c>
      <c r="G153" s="96"/>
      <c r="H153" s="99"/>
      <c r="I153" s="100"/>
      <c r="J153" s="94"/>
      <c r="K153" s="239"/>
      <c r="L153" s="240"/>
      <c r="M153" s="241"/>
      <c r="N153" s="241"/>
      <c r="O153" s="242"/>
      <c r="P153" s="242"/>
      <c r="Q153" s="243"/>
      <c r="R153" s="109"/>
      <c r="S153" s="108"/>
      <c r="T153" s="107"/>
    </row>
    <row r="154" spans="1:20" s="7" customFormat="1" ht="47.25" x14ac:dyDescent="0.2">
      <c r="A154" s="141">
        <f>IF(J154&lt;&gt;"",1+MAX($A$18:A153),"")</f>
        <v>92</v>
      </c>
      <c r="B154" s="97" t="s">
        <v>817</v>
      </c>
      <c r="C154" s="97" t="s">
        <v>817</v>
      </c>
      <c r="D154" s="95" t="s">
        <v>48</v>
      </c>
      <c r="E154" s="183" t="s">
        <v>82</v>
      </c>
      <c r="F154" s="112" t="s">
        <v>898</v>
      </c>
      <c r="G154" s="115">
        <v>1</v>
      </c>
      <c r="H154" s="51">
        <f>IF(VLOOKUP(J154,'HOURLY RATES'!B$116:C$124,2,0)=0,$J$3,VLOOKUP(J154,'HOURLY RATES'!B$116:C$124,2,0))</f>
        <v>0</v>
      </c>
      <c r="I154" s="52">
        <f t="shared" ref="I154:I156" si="136">(G154*(1+H154))</f>
        <v>1</v>
      </c>
      <c r="J154" s="94" t="s">
        <v>226</v>
      </c>
      <c r="K154" s="238">
        <v>4</v>
      </c>
      <c r="L154" s="59">
        <f t="shared" ref="L154:L156" si="137">K154*I154</f>
        <v>4</v>
      </c>
      <c r="M154" s="57">
        <f>IF(VLOOKUP(E154,'HOURLY RATES'!C$6:D$105,2,0)=0,$E$3,VLOOKUP(E154,'HOURLY RATES'!C$6:D$105,2,0))</f>
        <v>73.944999999999993</v>
      </c>
      <c r="N154" s="57">
        <f t="shared" ref="N154:N156" si="138">M154*L154</f>
        <v>295.77999999999997</v>
      </c>
      <c r="O154" s="60">
        <v>172.5</v>
      </c>
      <c r="P154" s="242">
        <f t="shared" ref="P154:P156" si="139">O154*I154</f>
        <v>172.5</v>
      </c>
      <c r="Q154" s="61">
        <f t="shared" ref="Q154:Q156" si="140">P154+N154</f>
        <v>468.28</v>
      </c>
      <c r="R154" s="142"/>
      <c r="S154" s="108">
        <f t="shared" ref="S154:S156" si="141">((((N154*(1+$D$7))+(P154*(1+$D$5+$D$6)))*(1+$D$8)))/I154</f>
        <v>585.42781762499988</v>
      </c>
      <c r="T154" s="107">
        <f t="shared" ref="T154:T156" si="142">S154*I154</f>
        <v>585.42781762499988</v>
      </c>
    </row>
    <row r="155" spans="1:20" s="7" customFormat="1" ht="47.25" x14ac:dyDescent="0.2">
      <c r="A155" s="141">
        <f>IF(J155&lt;&gt;"",1+MAX($A$18:A154),"")</f>
        <v>93</v>
      </c>
      <c r="B155" s="97" t="s">
        <v>817</v>
      </c>
      <c r="C155" s="97" t="s">
        <v>817</v>
      </c>
      <c r="D155" s="95" t="s">
        <v>48</v>
      </c>
      <c r="E155" s="183" t="s">
        <v>82</v>
      </c>
      <c r="F155" s="112" t="s">
        <v>899</v>
      </c>
      <c r="G155" s="115">
        <v>1</v>
      </c>
      <c r="H155" s="51">
        <f>IF(VLOOKUP(J155,'HOURLY RATES'!B$116:C$124,2,0)=0,$J$3,VLOOKUP(J155,'HOURLY RATES'!B$116:C$124,2,0))</f>
        <v>0</v>
      </c>
      <c r="I155" s="52">
        <f t="shared" si="136"/>
        <v>1</v>
      </c>
      <c r="J155" s="94" t="s">
        <v>226</v>
      </c>
      <c r="K155" s="238">
        <v>4</v>
      </c>
      <c r="L155" s="59">
        <f t="shared" si="137"/>
        <v>4</v>
      </c>
      <c r="M155" s="57">
        <f>IF(VLOOKUP(E155,'HOURLY RATES'!C$6:D$105,2,0)=0,$E$3,VLOOKUP(E155,'HOURLY RATES'!C$6:D$105,2,0))</f>
        <v>73.944999999999993</v>
      </c>
      <c r="N155" s="57">
        <f t="shared" si="138"/>
        <v>295.77999999999997</v>
      </c>
      <c r="O155" s="60">
        <v>172.5</v>
      </c>
      <c r="P155" s="242">
        <f t="shared" si="139"/>
        <v>172.5</v>
      </c>
      <c r="Q155" s="61">
        <f t="shared" si="140"/>
        <v>468.28</v>
      </c>
      <c r="R155" s="142"/>
      <c r="S155" s="108">
        <f t="shared" si="141"/>
        <v>585.42781762499988</v>
      </c>
      <c r="T155" s="107">
        <f t="shared" si="142"/>
        <v>585.42781762499988</v>
      </c>
    </row>
    <row r="156" spans="1:20" s="7" customFormat="1" ht="47.25" x14ac:dyDescent="0.2">
      <c r="A156" s="141">
        <f>IF(J156&lt;&gt;"",1+MAX($A$18:A155),"")</f>
        <v>94</v>
      </c>
      <c r="B156" s="97" t="s">
        <v>817</v>
      </c>
      <c r="C156" s="97" t="s">
        <v>817</v>
      </c>
      <c r="D156" s="95" t="s">
        <v>48</v>
      </c>
      <c r="E156" s="183" t="s">
        <v>82</v>
      </c>
      <c r="F156" s="112" t="s">
        <v>900</v>
      </c>
      <c r="G156" s="115">
        <v>1</v>
      </c>
      <c r="H156" s="51">
        <f>IF(VLOOKUP(J156,'HOURLY RATES'!B$116:C$124,2,0)=0,$J$3,VLOOKUP(J156,'HOURLY RATES'!B$116:C$124,2,0))</f>
        <v>0</v>
      </c>
      <c r="I156" s="52">
        <f t="shared" si="136"/>
        <v>1</v>
      </c>
      <c r="J156" s="94" t="s">
        <v>226</v>
      </c>
      <c r="K156" s="238">
        <v>6</v>
      </c>
      <c r="L156" s="59">
        <f t="shared" si="137"/>
        <v>6</v>
      </c>
      <c r="M156" s="57">
        <f>IF(VLOOKUP(E156,'HOURLY RATES'!C$6:D$105,2,0)=0,$E$3,VLOOKUP(E156,'HOURLY RATES'!C$6:D$105,2,0))</f>
        <v>73.944999999999993</v>
      </c>
      <c r="N156" s="57">
        <f t="shared" si="138"/>
        <v>443.66999999999996</v>
      </c>
      <c r="O156" s="60">
        <v>425</v>
      </c>
      <c r="P156" s="242">
        <f t="shared" si="139"/>
        <v>425</v>
      </c>
      <c r="Q156" s="61">
        <f t="shared" si="140"/>
        <v>868.67</v>
      </c>
      <c r="R156" s="142"/>
      <c r="S156" s="108">
        <f t="shared" si="141"/>
        <v>1095.1512512499999</v>
      </c>
      <c r="T156" s="107">
        <f t="shared" si="142"/>
        <v>1095.1512512499999</v>
      </c>
    </row>
    <row r="157" spans="1:20" s="7" customFormat="1" x14ac:dyDescent="0.2">
      <c r="A157" s="141" t="str">
        <f>IF(J157&lt;&gt;"",1+MAX($A$18:A156),"")</f>
        <v/>
      </c>
      <c r="B157" s="97"/>
      <c r="C157" s="101"/>
      <c r="D157" s="95"/>
      <c r="E157" s="183"/>
      <c r="F157" s="221" t="s">
        <v>901</v>
      </c>
      <c r="G157" s="102"/>
      <c r="H157" s="99"/>
      <c r="I157" s="100"/>
      <c r="J157" s="94"/>
      <c r="K157" s="239"/>
      <c r="L157" s="240"/>
      <c r="M157" s="241"/>
      <c r="N157" s="241"/>
      <c r="O157" s="242"/>
      <c r="P157" s="242"/>
      <c r="Q157" s="243"/>
      <c r="R157" s="109"/>
      <c r="S157" s="108"/>
      <c r="T157" s="107"/>
    </row>
    <row r="158" spans="1:20" s="7" customFormat="1" x14ac:dyDescent="0.2">
      <c r="A158" s="141" t="str">
        <f>IF(J158&lt;&gt;"",1+MAX($A$18:A157),"")</f>
        <v/>
      </c>
      <c r="B158" s="97"/>
      <c r="C158" s="101"/>
      <c r="D158" s="95"/>
      <c r="E158" s="183"/>
      <c r="F158" s="220" t="s">
        <v>223</v>
      </c>
      <c r="G158" s="102"/>
      <c r="H158" s="99"/>
      <c r="I158" s="100"/>
      <c r="J158" s="94"/>
      <c r="K158" s="239"/>
      <c r="L158" s="240"/>
      <c r="M158" s="241"/>
      <c r="N158" s="241"/>
      <c r="O158" s="242"/>
      <c r="P158" s="242"/>
      <c r="Q158" s="243"/>
      <c r="R158" s="109"/>
      <c r="S158" s="108"/>
      <c r="T158" s="107"/>
    </row>
    <row r="159" spans="1:20" s="7" customFormat="1" x14ac:dyDescent="0.2">
      <c r="A159" s="141" t="str">
        <f>IF(J159&lt;&gt;"",1+MAX($A$18:A158),"")</f>
        <v/>
      </c>
      <c r="B159" s="97"/>
      <c r="C159" s="101"/>
      <c r="D159" s="95"/>
      <c r="E159" s="183"/>
      <c r="F159" s="119" t="s">
        <v>722</v>
      </c>
      <c r="G159" s="96"/>
      <c r="H159" s="99"/>
      <c r="I159" s="100"/>
      <c r="J159" s="94"/>
      <c r="K159" s="239"/>
      <c r="L159" s="240"/>
      <c r="M159" s="241"/>
      <c r="N159" s="241"/>
      <c r="O159" s="242"/>
      <c r="P159" s="242"/>
      <c r="Q159" s="243"/>
      <c r="R159" s="109"/>
      <c r="S159" s="108"/>
      <c r="T159" s="107"/>
    </row>
    <row r="160" spans="1:20" s="7" customFormat="1" x14ac:dyDescent="0.2">
      <c r="A160" s="141">
        <f>IF(J160&lt;&gt;"",1+MAX($A$18:A159),"")</f>
        <v>95</v>
      </c>
      <c r="B160" s="49" t="s">
        <v>817</v>
      </c>
      <c r="C160" s="62" t="s">
        <v>817</v>
      </c>
      <c r="D160" s="95" t="s">
        <v>48</v>
      </c>
      <c r="E160" s="182" t="s">
        <v>82</v>
      </c>
      <c r="F160" s="176" t="s">
        <v>832</v>
      </c>
      <c r="G160" s="50">
        <v>1</v>
      </c>
      <c r="H160" s="51">
        <f>IF(VLOOKUP(J160,'HOURLY RATES'!B$116:C$124,2,0)=0,$J$3,VLOOKUP(J160,'HOURLY RATES'!B$116:C$124,2,0))</f>
        <v>0</v>
      </c>
      <c r="I160" s="52">
        <f t="shared" ref="I160" si="143">(G160*(1+H160))</f>
        <v>1</v>
      </c>
      <c r="J160" s="94" t="s">
        <v>226</v>
      </c>
      <c r="K160" s="238">
        <v>0.26974999999999999</v>
      </c>
      <c r="L160" s="59">
        <f t="shared" ref="L160" si="144">K160*I160</f>
        <v>0.26974999999999999</v>
      </c>
      <c r="M160" s="57">
        <f>IF(VLOOKUP(E160,'HOURLY RATES'!C$6:D$105,2,0)=0,$E$3,VLOOKUP(E160,'HOURLY RATES'!C$6:D$105,2,0))</f>
        <v>73.944999999999993</v>
      </c>
      <c r="N160" s="57">
        <f t="shared" ref="N160" si="145">M160*L160</f>
        <v>19.946663749999999</v>
      </c>
      <c r="O160" s="60">
        <v>3.25</v>
      </c>
      <c r="P160" s="60">
        <f t="shared" ref="P160:P171" si="146">O160*I160</f>
        <v>3.25</v>
      </c>
      <c r="Q160" s="61">
        <f t="shared" ref="Q160" si="147">P160+N160</f>
        <v>23.196663749999999</v>
      </c>
      <c r="R160" s="142"/>
      <c r="S160" s="108">
        <f t="shared" ref="S160" si="148">((((N160*(1+$D$7))+(P160*(1+$D$5+$D$6)))*(1+$D$8)))/I160</f>
        <v>28.537327909999995</v>
      </c>
      <c r="T160" s="107">
        <f t="shared" ref="T160" si="149">S160*I160</f>
        <v>28.537327909999995</v>
      </c>
    </row>
    <row r="161" spans="1:20" s="7" customFormat="1" x14ac:dyDescent="0.2">
      <c r="A161" s="141">
        <f>IF(J161&lt;&gt;"",1+MAX($A$18:A160),"")</f>
        <v>96</v>
      </c>
      <c r="B161" s="49" t="s">
        <v>817</v>
      </c>
      <c r="C161" s="62" t="s">
        <v>817</v>
      </c>
      <c r="D161" s="95" t="s">
        <v>48</v>
      </c>
      <c r="E161" s="182" t="s">
        <v>82</v>
      </c>
      <c r="F161" s="176" t="s">
        <v>902</v>
      </c>
      <c r="G161" s="50">
        <v>1</v>
      </c>
      <c r="H161" s="51">
        <f>IF(VLOOKUP(J161,'HOURLY RATES'!B$116:C$124,2,0)=0,$J$3,VLOOKUP(J161,'HOURLY RATES'!B$116:C$124,2,0))</f>
        <v>0</v>
      </c>
      <c r="I161" s="52">
        <f t="shared" ref="I161" si="150">(G161*(1+H161))</f>
        <v>1</v>
      </c>
      <c r="J161" s="94" t="s">
        <v>226</v>
      </c>
      <c r="K161" s="238">
        <v>0.747</v>
      </c>
      <c r="L161" s="59">
        <f t="shared" ref="L161" si="151">K161*I161</f>
        <v>0.747</v>
      </c>
      <c r="M161" s="57">
        <f>IF(VLOOKUP(E161,'HOURLY RATES'!C$6:D$105,2,0)=0,$E$3,VLOOKUP(E161,'HOURLY RATES'!C$6:D$105,2,0))</f>
        <v>73.944999999999993</v>
      </c>
      <c r="N161" s="57">
        <f t="shared" ref="N161" si="152">M161*L161</f>
        <v>55.236914999999996</v>
      </c>
      <c r="O161" s="60">
        <v>9</v>
      </c>
      <c r="P161" s="60">
        <f t="shared" si="146"/>
        <v>9</v>
      </c>
      <c r="Q161" s="61">
        <f t="shared" ref="Q161" si="153">P161+N161</f>
        <v>64.236914999999996</v>
      </c>
      <c r="R161" s="142"/>
      <c r="S161" s="108">
        <f t="shared" ref="S161" si="154">((((N161*(1+$D$7))+(P161*(1+$D$5+$D$6)))*(1+$D$8)))/I161</f>
        <v>79.026446519999979</v>
      </c>
      <c r="T161" s="107">
        <f t="shared" ref="T161" si="155">S161*I161</f>
        <v>79.026446519999979</v>
      </c>
    </row>
    <row r="162" spans="1:20" s="7" customFormat="1" x14ac:dyDescent="0.2">
      <c r="A162" s="141">
        <f>IF(J162&lt;&gt;"",1+MAX($A$18:A161),"")</f>
        <v>97</v>
      </c>
      <c r="B162" s="49" t="s">
        <v>817</v>
      </c>
      <c r="C162" s="62" t="s">
        <v>817</v>
      </c>
      <c r="D162" s="95" t="s">
        <v>48</v>
      </c>
      <c r="E162" s="182" t="s">
        <v>82</v>
      </c>
      <c r="F162" s="176" t="s">
        <v>723</v>
      </c>
      <c r="G162" s="50">
        <v>91</v>
      </c>
      <c r="H162" s="51">
        <f>IF(VLOOKUP(J162,'HOURLY RATES'!B$116:C$124,2,0)=0,$J$3,VLOOKUP(J162,'HOURLY RATES'!B$116:C$124,2,0))</f>
        <v>0</v>
      </c>
      <c r="I162" s="52">
        <f t="shared" ref="I162:I171" si="156">(G162*(1+H162))</f>
        <v>91</v>
      </c>
      <c r="J162" s="94" t="s">
        <v>226</v>
      </c>
      <c r="K162" s="238">
        <v>0.18675</v>
      </c>
      <c r="L162" s="59">
        <f t="shared" ref="L162:L171" si="157">K162*I162</f>
        <v>16.994250000000001</v>
      </c>
      <c r="M162" s="57">
        <f>IF(VLOOKUP(E162,'HOURLY RATES'!C$6:D$105,2,0)=0,$E$3,VLOOKUP(E162,'HOURLY RATES'!C$6:D$105,2,0))</f>
        <v>73.944999999999993</v>
      </c>
      <c r="N162" s="57">
        <f t="shared" ref="N162:N171" si="158">M162*L162</f>
        <v>1256.63981625</v>
      </c>
      <c r="O162" s="60">
        <v>2.25</v>
      </c>
      <c r="P162" s="60">
        <f t="shared" si="146"/>
        <v>204.75</v>
      </c>
      <c r="Q162" s="61">
        <f t="shared" ref="Q162:Q171" si="159">P162+N162</f>
        <v>1461.38981625</v>
      </c>
      <c r="R162" s="142"/>
      <c r="S162" s="108">
        <f t="shared" ref="S162:S171" si="160">((((N162*(1+$D$7))+(P162*(1+$D$5+$D$6)))*(1+$D$8)))/I162</f>
        <v>19.756611629999998</v>
      </c>
      <c r="T162" s="107">
        <f t="shared" ref="T162:T171" si="161">S162*I162</f>
        <v>1797.8516583299997</v>
      </c>
    </row>
    <row r="163" spans="1:20" s="7" customFormat="1" x14ac:dyDescent="0.2">
      <c r="A163" s="141">
        <f>IF(J163&lt;&gt;"",1+MAX($A$18:A162),"")</f>
        <v>98</v>
      </c>
      <c r="B163" s="49" t="s">
        <v>817</v>
      </c>
      <c r="C163" s="62" t="s">
        <v>817</v>
      </c>
      <c r="D163" s="95" t="s">
        <v>48</v>
      </c>
      <c r="E163" s="182" t="s">
        <v>82</v>
      </c>
      <c r="F163" s="176" t="s">
        <v>772</v>
      </c>
      <c r="G163" s="50">
        <v>1</v>
      </c>
      <c r="H163" s="51">
        <f>IF(VLOOKUP(J163,'HOURLY RATES'!B$116:C$124,2,0)=0,$J$3,VLOOKUP(J163,'HOURLY RATES'!B$116:C$124,2,0))</f>
        <v>0</v>
      </c>
      <c r="I163" s="52">
        <f t="shared" si="156"/>
        <v>1</v>
      </c>
      <c r="J163" s="94" t="s">
        <v>226</v>
      </c>
      <c r="K163" s="238">
        <v>2.1579999999999999</v>
      </c>
      <c r="L163" s="59">
        <f t="shared" si="157"/>
        <v>2.1579999999999999</v>
      </c>
      <c r="M163" s="57">
        <f>IF(VLOOKUP(E163,'HOURLY RATES'!C$6:D$105,2,0)=0,$E$3,VLOOKUP(E163,'HOURLY RATES'!C$6:D$105,2,0))</f>
        <v>73.944999999999993</v>
      </c>
      <c r="N163" s="57">
        <f t="shared" si="158"/>
        <v>159.57330999999999</v>
      </c>
      <c r="O163" s="60">
        <v>26</v>
      </c>
      <c r="P163" s="60">
        <f t="shared" si="146"/>
        <v>26</v>
      </c>
      <c r="Q163" s="61">
        <f t="shared" si="159"/>
        <v>185.57330999999999</v>
      </c>
      <c r="R163" s="142"/>
      <c r="S163" s="108">
        <f t="shared" si="160"/>
        <v>228.29862327999996</v>
      </c>
      <c r="T163" s="107">
        <f t="shared" si="161"/>
        <v>228.29862327999996</v>
      </c>
    </row>
    <row r="164" spans="1:20" s="7" customFormat="1" x14ac:dyDescent="0.2">
      <c r="A164" s="141">
        <f>IF(J164&lt;&gt;"",1+MAX($A$18:A163),"")</f>
        <v>99</v>
      </c>
      <c r="B164" s="49" t="s">
        <v>817</v>
      </c>
      <c r="C164" s="62" t="s">
        <v>817</v>
      </c>
      <c r="D164" s="95" t="s">
        <v>48</v>
      </c>
      <c r="E164" s="182" t="s">
        <v>82</v>
      </c>
      <c r="F164" s="176" t="s">
        <v>766</v>
      </c>
      <c r="G164" s="50">
        <v>1</v>
      </c>
      <c r="H164" s="51">
        <f>IF(VLOOKUP(J164,'HOURLY RATES'!B$116:C$124,2,0)=0,$J$3,VLOOKUP(J164,'HOURLY RATES'!B$116:C$124,2,0))</f>
        <v>0</v>
      </c>
      <c r="I164" s="52">
        <f t="shared" si="156"/>
        <v>1</v>
      </c>
      <c r="J164" s="94" t="s">
        <v>226</v>
      </c>
      <c r="K164" s="238">
        <v>1.079</v>
      </c>
      <c r="L164" s="59">
        <f t="shared" si="157"/>
        <v>1.079</v>
      </c>
      <c r="M164" s="57">
        <f>IF(VLOOKUP(E164,'HOURLY RATES'!C$6:D$105,2,0)=0,$E$3,VLOOKUP(E164,'HOURLY RATES'!C$6:D$105,2,0))</f>
        <v>73.944999999999993</v>
      </c>
      <c r="N164" s="57">
        <f t="shared" si="158"/>
        <v>79.786654999999996</v>
      </c>
      <c r="O164" s="60">
        <v>13</v>
      </c>
      <c r="P164" s="60">
        <f t="shared" si="146"/>
        <v>13</v>
      </c>
      <c r="Q164" s="61">
        <f t="shared" si="159"/>
        <v>92.786654999999996</v>
      </c>
      <c r="R164" s="142"/>
      <c r="S164" s="108">
        <f t="shared" si="160"/>
        <v>114.14931163999998</v>
      </c>
      <c r="T164" s="107">
        <f t="shared" si="161"/>
        <v>114.14931163999998</v>
      </c>
    </row>
    <row r="165" spans="1:20" s="7" customFormat="1" x14ac:dyDescent="0.2">
      <c r="A165" s="141">
        <f>IF(J165&lt;&gt;"",1+MAX($A$18:A164),"")</f>
        <v>100</v>
      </c>
      <c r="B165" s="49" t="s">
        <v>817</v>
      </c>
      <c r="C165" s="62" t="s">
        <v>817</v>
      </c>
      <c r="D165" s="95" t="s">
        <v>48</v>
      </c>
      <c r="E165" s="182" t="s">
        <v>82</v>
      </c>
      <c r="F165" s="176" t="s">
        <v>773</v>
      </c>
      <c r="G165" s="50">
        <v>1</v>
      </c>
      <c r="H165" s="51">
        <f>IF(VLOOKUP(J165,'HOURLY RATES'!B$116:C$124,2,0)=0,$J$3,VLOOKUP(J165,'HOURLY RATES'!B$116:C$124,2,0))</f>
        <v>0</v>
      </c>
      <c r="I165" s="52">
        <f t="shared" si="156"/>
        <v>1</v>
      </c>
      <c r="J165" s="94" t="s">
        <v>226</v>
      </c>
      <c r="K165" s="238">
        <v>0.22825000000000001</v>
      </c>
      <c r="L165" s="59">
        <f t="shared" si="157"/>
        <v>0.22825000000000001</v>
      </c>
      <c r="M165" s="57">
        <f>IF(VLOOKUP(E165,'HOURLY RATES'!C$6:D$105,2,0)=0,$E$3,VLOOKUP(E165,'HOURLY RATES'!C$6:D$105,2,0))</f>
        <v>73.944999999999993</v>
      </c>
      <c r="N165" s="57">
        <f t="shared" si="158"/>
        <v>16.877946250000001</v>
      </c>
      <c r="O165" s="60">
        <v>2.75</v>
      </c>
      <c r="P165" s="60">
        <f t="shared" si="146"/>
        <v>2.75</v>
      </c>
      <c r="Q165" s="61">
        <f t="shared" si="159"/>
        <v>19.627946250000001</v>
      </c>
      <c r="R165" s="142"/>
      <c r="S165" s="108">
        <f t="shared" si="160"/>
        <v>24.146969770000002</v>
      </c>
      <c r="T165" s="107">
        <f t="shared" si="161"/>
        <v>24.146969770000002</v>
      </c>
    </row>
    <row r="166" spans="1:20" s="7" customFormat="1" x14ac:dyDescent="0.2">
      <c r="A166" s="141">
        <f>IF(J166&lt;&gt;"",1+MAX($A$18:A165),"")</f>
        <v>101</v>
      </c>
      <c r="B166" s="97" t="s">
        <v>817</v>
      </c>
      <c r="C166" s="97" t="s">
        <v>817</v>
      </c>
      <c r="D166" s="95" t="s">
        <v>48</v>
      </c>
      <c r="E166" s="183" t="s">
        <v>82</v>
      </c>
      <c r="F166" s="112" t="s">
        <v>774</v>
      </c>
      <c r="G166" s="115">
        <v>2</v>
      </c>
      <c r="H166" s="51">
        <f>IF(VLOOKUP(J166,'HOURLY RATES'!B$116:C$124,2,0)=0,$J$3,VLOOKUP(J166,'HOURLY RATES'!B$116:C$124,2,0))</f>
        <v>0</v>
      </c>
      <c r="I166" s="52">
        <f t="shared" ref="I166:I169" si="162">(G166*(1+H166))</f>
        <v>2</v>
      </c>
      <c r="J166" s="94" t="s">
        <v>226</v>
      </c>
      <c r="K166" s="238">
        <v>1.2035</v>
      </c>
      <c r="L166" s="59">
        <f t="shared" ref="L166:L169" si="163">K166*I166</f>
        <v>2.407</v>
      </c>
      <c r="M166" s="57">
        <f>IF(VLOOKUP(E166,'HOURLY RATES'!C$6:D$105,2,0)=0,$E$3,VLOOKUP(E166,'HOURLY RATES'!C$6:D$105,2,0))</f>
        <v>73.944999999999993</v>
      </c>
      <c r="N166" s="57">
        <f t="shared" ref="N166:N169" si="164">M166*L166</f>
        <v>177.985615</v>
      </c>
      <c r="O166" s="60">
        <v>14.5</v>
      </c>
      <c r="P166" s="242">
        <f t="shared" si="146"/>
        <v>29</v>
      </c>
      <c r="Q166" s="61">
        <f t="shared" ref="Q166:Q169" si="165">P166+N166</f>
        <v>206.985615</v>
      </c>
      <c r="R166" s="142"/>
      <c r="S166" s="108">
        <f t="shared" ref="S166:S169" si="166">((((N166*(1+$D$7))+(P166*(1+$D$5+$D$6)))*(1+$D$8)))/I166</f>
        <v>127.32038605999998</v>
      </c>
      <c r="T166" s="107">
        <f t="shared" ref="T166:T169" si="167">S166*I166</f>
        <v>254.64077211999995</v>
      </c>
    </row>
    <row r="167" spans="1:20" s="7" customFormat="1" x14ac:dyDescent="0.2">
      <c r="A167" s="141">
        <f>IF(J167&lt;&gt;"",1+MAX($A$18:A166),"")</f>
        <v>102</v>
      </c>
      <c r="B167" s="97" t="s">
        <v>817</v>
      </c>
      <c r="C167" s="97" t="s">
        <v>817</v>
      </c>
      <c r="D167" s="95" t="s">
        <v>48</v>
      </c>
      <c r="E167" s="183" t="s">
        <v>82</v>
      </c>
      <c r="F167" s="112" t="s">
        <v>775</v>
      </c>
      <c r="G167" s="115">
        <v>2</v>
      </c>
      <c r="H167" s="51">
        <f>IF(VLOOKUP(J167,'HOURLY RATES'!B$116:C$124,2,0)=0,$J$3,VLOOKUP(J167,'HOURLY RATES'!B$116:C$124,2,0))</f>
        <v>0</v>
      </c>
      <c r="I167" s="52">
        <f t="shared" si="162"/>
        <v>2</v>
      </c>
      <c r="J167" s="94" t="s">
        <v>226</v>
      </c>
      <c r="K167" s="238">
        <v>1.0375000000000001</v>
      </c>
      <c r="L167" s="59">
        <f t="shared" si="163"/>
        <v>2.0750000000000002</v>
      </c>
      <c r="M167" s="57">
        <f>IF(VLOOKUP(E167,'HOURLY RATES'!C$6:D$105,2,0)=0,$E$3,VLOOKUP(E167,'HOURLY RATES'!C$6:D$105,2,0))</f>
        <v>73.944999999999993</v>
      </c>
      <c r="N167" s="57">
        <f t="shared" si="164"/>
        <v>153.43587500000001</v>
      </c>
      <c r="O167" s="60">
        <v>12.5</v>
      </c>
      <c r="P167" s="242">
        <f t="shared" si="146"/>
        <v>25</v>
      </c>
      <c r="Q167" s="61">
        <f t="shared" si="165"/>
        <v>178.43587500000001</v>
      </c>
      <c r="R167" s="142"/>
      <c r="S167" s="108">
        <f t="shared" si="166"/>
        <v>109.75895349999999</v>
      </c>
      <c r="T167" s="107">
        <f t="shared" si="167"/>
        <v>219.51790699999998</v>
      </c>
    </row>
    <row r="168" spans="1:20" s="7" customFormat="1" x14ac:dyDescent="0.2">
      <c r="A168" s="141">
        <f>IF(J168&lt;&gt;"",1+MAX($A$18:A167),"")</f>
        <v>103</v>
      </c>
      <c r="B168" s="97" t="s">
        <v>817</v>
      </c>
      <c r="C168" s="97" t="s">
        <v>817</v>
      </c>
      <c r="D168" s="95" t="s">
        <v>48</v>
      </c>
      <c r="E168" s="183" t="s">
        <v>82</v>
      </c>
      <c r="F168" s="112" t="s">
        <v>736</v>
      </c>
      <c r="G168" s="115">
        <v>2</v>
      </c>
      <c r="H168" s="51">
        <f>IF(VLOOKUP(J168,'HOURLY RATES'!B$116:C$124,2,0)=0,$J$3,VLOOKUP(J168,'HOURLY RATES'!B$116:C$124,2,0))</f>
        <v>0</v>
      </c>
      <c r="I168" s="52">
        <f t="shared" si="162"/>
        <v>2</v>
      </c>
      <c r="J168" s="94" t="s">
        <v>226</v>
      </c>
      <c r="K168" s="238">
        <v>0.58099999999999996</v>
      </c>
      <c r="L168" s="59">
        <f t="shared" si="163"/>
        <v>1.1619999999999999</v>
      </c>
      <c r="M168" s="57">
        <f>IF(VLOOKUP(E168,'HOURLY RATES'!C$6:D$105,2,0)=0,$E$3,VLOOKUP(E168,'HOURLY RATES'!C$6:D$105,2,0))</f>
        <v>73.944999999999993</v>
      </c>
      <c r="N168" s="57">
        <f t="shared" si="164"/>
        <v>85.924089999999993</v>
      </c>
      <c r="O168" s="60">
        <v>7</v>
      </c>
      <c r="P168" s="242">
        <f t="shared" si="146"/>
        <v>14</v>
      </c>
      <c r="Q168" s="61">
        <f t="shared" si="165"/>
        <v>99.924089999999993</v>
      </c>
      <c r="R168" s="142"/>
      <c r="S168" s="108">
        <f t="shared" si="166"/>
        <v>61.465013959999986</v>
      </c>
      <c r="T168" s="107">
        <f t="shared" si="167"/>
        <v>122.93002791999997</v>
      </c>
    </row>
    <row r="169" spans="1:20" s="7" customFormat="1" x14ac:dyDescent="0.2">
      <c r="A169" s="141">
        <f>IF(J169&lt;&gt;"",1+MAX($A$18:A168),"")</f>
        <v>104</v>
      </c>
      <c r="B169" s="97" t="s">
        <v>817</v>
      </c>
      <c r="C169" s="97" t="s">
        <v>817</v>
      </c>
      <c r="D169" s="95" t="s">
        <v>48</v>
      </c>
      <c r="E169" s="183" t="s">
        <v>82</v>
      </c>
      <c r="F169" s="112" t="s">
        <v>776</v>
      </c>
      <c r="G169" s="115">
        <v>1</v>
      </c>
      <c r="H169" s="51">
        <f>IF(VLOOKUP(J169,'HOURLY RATES'!B$116:C$124,2,0)=0,$J$3,VLOOKUP(J169,'HOURLY RATES'!B$116:C$124,2,0))</f>
        <v>0</v>
      </c>
      <c r="I169" s="52">
        <f t="shared" si="162"/>
        <v>1</v>
      </c>
      <c r="J169" s="94" t="s">
        <v>226</v>
      </c>
      <c r="K169" s="238">
        <v>1.3280000000000001</v>
      </c>
      <c r="L169" s="59">
        <f t="shared" si="163"/>
        <v>1.3280000000000001</v>
      </c>
      <c r="M169" s="57">
        <f>IF(VLOOKUP(E169,'HOURLY RATES'!C$6:D$105,2,0)=0,$E$3,VLOOKUP(E169,'HOURLY RATES'!C$6:D$105,2,0))</f>
        <v>73.944999999999993</v>
      </c>
      <c r="N169" s="57">
        <f t="shared" si="164"/>
        <v>98.19896</v>
      </c>
      <c r="O169" s="60">
        <v>16</v>
      </c>
      <c r="P169" s="242">
        <f t="shared" si="146"/>
        <v>16</v>
      </c>
      <c r="Q169" s="61">
        <f t="shared" si="165"/>
        <v>114.19896</v>
      </c>
      <c r="R169" s="142"/>
      <c r="S169" s="108">
        <f t="shared" si="166"/>
        <v>140.49146048</v>
      </c>
      <c r="T169" s="107">
        <f t="shared" si="167"/>
        <v>140.49146048</v>
      </c>
    </row>
    <row r="170" spans="1:20" s="7" customFormat="1" x14ac:dyDescent="0.2">
      <c r="A170" s="141">
        <f>IF(J170&lt;&gt;"",1+MAX($A$18:A169),"")</f>
        <v>105</v>
      </c>
      <c r="B170" s="97" t="s">
        <v>817</v>
      </c>
      <c r="C170" s="97" t="s">
        <v>817</v>
      </c>
      <c r="D170" s="95" t="s">
        <v>48</v>
      </c>
      <c r="E170" s="183" t="s">
        <v>82</v>
      </c>
      <c r="F170" s="112" t="s">
        <v>777</v>
      </c>
      <c r="G170" s="115">
        <v>1</v>
      </c>
      <c r="H170" s="51">
        <f>IF(VLOOKUP(J170,'HOURLY RATES'!B$116:C$124,2,0)=0,$J$3,VLOOKUP(J170,'HOURLY RATES'!B$116:C$124,2,0))</f>
        <v>0</v>
      </c>
      <c r="I170" s="52">
        <f t="shared" si="156"/>
        <v>1</v>
      </c>
      <c r="J170" s="94" t="s">
        <v>226</v>
      </c>
      <c r="K170" s="238">
        <v>1.411</v>
      </c>
      <c r="L170" s="59">
        <f t="shared" si="157"/>
        <v>1.411</v>
      </c>
      <c r="M170" s="57">
        <f>IF(VLOOKUP(E170,'HOURLY RATES'!C$6:D$105,2,0)=0,$E$3,VLOOKUP(E170,'HOURLY RATES'!C$6:D$105,2,0))</f>
        <v>73.944999999999993</v>
      </c>
      <c r="N170" s="57">
        <f t="shared" si="158"/>
        <v>104.336395</v>
      </c>
      <c r="O170" s="60">
        <v>17</v>
      </c>
      <c r="P170" s="242">
        <f t="shared" si="146"/>
        <v>17</v>
      </c>
      <c r="Q170" s="61">
        <f t="shared" si="159"/>
        <v>121.336395</v>
      </c>
      <c r="R170" s="142"/>
      <c r="S170" s="108">
        <f t="shared" si="160"/>
        <v>149.27217675999998</v>
      </c>
      <c r="T170" s="107">
        <f t="shared" si="161"/>
        <v>149.27217675999998</v>
      </c>
    </row>
    <row r="171" spans="1:20" s="7" customFormat="1" x14ac:dyDescent="0.2">
      <c r="A171" s="141">
        <f>IF(J171&lt;&gt;"",1+MAX($A$18:A170),"")</f>
        <v>106</v>
      </c>
      <c r="B171" s="97" t="s">
        <v>817</v>
      </c>
      <c r="C171" s="97" t="s">
        <v>817</v>
      </c>
      <c r="D171" s="95" t="s">
        <v>48</v>
      </c>
      <c r="E171" s="183" t="s">
        <v>82</v>
      </c>
      <c r="F171" s="112" t="s">
        <v>778</v>
      </c>
      <c r="G171" s="115">
        <v>1</v>
      </c>
      <c r="H171" s="51">
        <f>IF(VLOOKUP(J171,'HOURLY RATES'!B$116:C$124,2,0)=0,$J$3,VLOOKUP(J171,'HOURLY RATES'!B$116:C$124,2,0))</f>
        <v>0</v>
      </c>
      <c r="I171" s="52">
        <f t="shared" si="156"/>
        <v>1</v>
      </c>
      <c r="J171" s="94" t="s">
        <v>226</v>
      </c>
      <c r="K171" s="238">
        <v>0.498</v>
      </c>
      <c r="L171" s="59">
        <f t="shared" si="157"/>
        <v>0.498</v>
      </c>
      <c r="M171" s="57">
        <f>IF(VLOOKUP(E171,'HOURLY RATES'!C$6:D$105,2,0)=0,$E$3,VLOOKUP(E171,'HOURLY RATES'!C$6:D$105,2,0))</f>
        <v>73.944999999999993</v>
      </c>
      <c r="N171" s="57">
        <f t="shared" si="158"/>
        <v>36.82461</v>
      </c>
      <c r="O171" s="60">
        <v>6</v>
      </c>
      <c r="P171" s="242">
        <f t="shared" si="146"/>
        <v>6</v>
      </c>
      <c r="Q171" s="61">
        <f t="shared" si="159"/>
        <v>42.82461</v>
      </c>
      <c r="R171" s="142"/>
      <c r="S171" s="108">
        <f t="shared" si="160"/>
        <v>52.684297679999993</v>
      </c>
      <c r="T171" s="107">
        <f t="shared" si="161"/>
        <v>52.684297679999993</v>
      </c>
    </row>
    <row r="172" spans="1:20" s="7" customFormat="1" x14ac:dyDescent="0.2">
      <c r="A172" s="141" t="str">
        <f>IF(J172&lt;&gt;"",1+MAX($A$18:A171),"")</f>
        <v/>
      </c>
      <c r="B172" s="97"/>
      <c r="C172" s="97"/>
      <c r="D172" s="95"/>
      <c r="E172" s="183"/>
      <c r="F172" s="219" t="s">
        <v>903</v>
      </c>
      <c r="G172" s="115"/>
      <c r="H172" s="51"/>
      <c r="I172" s="52"/>
      <c r="J172" s="94"/>
      <c r="K172" s="238"/>
      <c r="L172" s="59"/>
      <c r="M172" s="57"/>
      <c r="N172" s="57"/>
      <c r="O172" s="60"/>
      <c r="P172" s="60"/>
      <c r="Q172" s="61"/>
      <c r="R172" s="109"/>
      <c r="S172" s="108"/>
      <c r="T172" s="107"/>
    </row>
    <row r="173" spans="1:20" s="7" customFormat="1" x14ac:dyDescent="0.2">
      <c r="A173" s="141" t="str">
        <f>IF(J173&lt;&gt;"",1+MAX($A$18:A172),"")</f>
        <v/>
      </c>
      <c r="B173" s="97"/>
      <c r="C173" s="97"/>
      <c r="D173" s="95"/>
      <c r="E173" s="183"/>
      <c r="F173" s="120" t="s">
        <v>223</v>
      </c>
      <c r="G173" s="102"/>
      <c r="H173" s="99"/>
      <c r="I173" s="100"/>
      <c r="J173" s="94"/>
      <c r="K173" s="239"/>
      <c r="L173" s="240"/>
      <c r="M173" s="241"/>
      <c r="N173" s="241"/>
      <c r="O173" s="242"/>
      <c r="P173" s="242"/>
      <c r="Q173" s="243"/>
      <c r="R173" s="109"/>
      <c r="S173" s="108"/>
      <c r="T173" s="107"/>
    </row>
    <row r="174" spans="1:20" s="7" customFormat="1" x14ac:dyDescent="0.2">
      <c r="A174" s="141" t="str">
        <f>IF(J174&lt;&gt;"",1+MAX($A$18:A173),"")</f>
        <v/>
      </c>
      <c r="B174" s="97"/>
      <c r="C174" s="101"/>
      <c r="D174" s="95"/>
      <c r="E174" s="183"/>
      <c r="F174" s="119" t="s">
        <v>717</v>
      </c>
      <c r="G174" s="96"/>
      <c r="H174" s="99"/>
      <c r="I174" s="100"/>
      <c r="J174" s="94"/>
      <c r="K174" s="239"/>
      <c r="L174" s="240"/>
      <c r="M174" s="241"/>
      <c r="N174" s="241"/>
      <c r="O174" s="242"/>
      <c r="P174" s="242"/>
      <c r="Q174" s="243"/>
      <c r="R174" s="109"/>
      <c r="S174" s="108"/>
      <c r="T174" s="107"/>
    </row>
    <row r="175" spans="1:20" s="7" customFormat="1" x14ac:dyDescent="0.2">
      <c r="A175" s="141">
        <f>IF(J175&lt;&gt;"",1+MAX($A$18:A174),"")</f>
        <v>107</v>
      </c>
      <c r="B175" s="97" t="s">
        <v>817</v>
      </c>
      <c r="C175" s="97" t="s">
        <v>817</v>
      </c>
      <c r="D175" s="95" t="s">
        <v>48</v>
      </c>
      <c r="E175" s="183" t="s">
        <v>82</v>
      </c>
      <c r="F175" s="112" t="s">
        <v>779</v>
      </c>
      <c r="G175" s="115">
        <v>8</v>
      </c>
      <c r="H175" s="51">
        <f>IF(VLOOKUP(J175,'HOURLY RATES'!B$116:C$124,2,0)=0,$J$3,VLOOKUP(J175,'HOURLY RATES'!B$116:C$124,2,0))</f>
        <v>0</v>
      </c>
      <c r="I175" s="52">
        <f t="shared" ref="I175:I177" si="168">(G175*(1+H175))</f>
        <v>8</v>
      </c>
      <c r="J175" s="94" t="s">
        <v>226</v>
      </c>
      <c r="K175" s="238">
        <v>0.21</v>
      </c>
      <c r="L175" s="59">
        <f t="shared" ref="L175:L180" si="169">K175*I175</f>
        <v>1.68</v>
      </c>
      <c r="M175" s="57">
        <f>IF(VLOOKUP(E175,'HOURLY RATES'!C$6:D$105,2,0)=0,$E$3,VLOOKUP(E175,'HOURLY RATES'!C$6:D$105,2,0))</f>
        <v>73.944999999999993</v>
      </c>
      <c r="N175" s="57">
        <f t="shared" ref="N175:N180" si="170">M175*L175</f>
        <v>124.22759999999998</v>
      </c>
      <c r="O175" s="60">
        <v>24</v>
      </c>
      <c r="P175" s="242">
        <f t="shared" ref="P175:P181" si="171">O175*I175</f>
        <v>192</v>
      </c>
      <c r="Q175" s="61">
        <f t="shared" ref="Q175:Q180" si="172">P175+N175</f>
        <v>316.2276</v>
      </c>
      <c r="R175" s="142"/>
      <c r="S175" s="108">
        <f t="shared" ref="S175:S180" si="173">((((N175*(1+$D$7))+(P175*(1+$D$5+$D$6)))*(1+$D$8)))/I175</f>
        <v>50.241342899999985</v>
      </c>
      <c r="T175" s="107">
        <f t="shared" ref="T175:T180" si="174">S175*I175</f>
        <v>401.93074319999988</v>
      </c>
    </row>
    <row r="176" spans="1:20" s="7" customFormat="1" x14ac:dyDescent="0.2">
      <c r="A176" s="141">
        <f>IF(J176&lt;&gt;"",1+MAX($A$18:A175),"")</f>
        <v>108</v>
      </c>
      <c r="B176" s="97" t="s">
        <v>817</v>
      </c>
      <c r="C176" s="97" t="s">
        <v>817</v>
      </c>
      <c r="D176" s="95" t="s">
        <v>48</v>
      </c>
      <c r="E176" s="183" t="s">
        <v>82</v>
      </c>
      <c r="F176" s="112" t="s">
        <v>765</v>
      </c>
      <c r="G176" s="115">
        <v>8</v>
      </c>
      <c r="H176" s="51">
        <f>IF(VLOOKUP(J176,'HOURLY RATES'!B$116:C$124,2,0)=0,$J$3,VLOOKUP(J176,'HOURLY RATES'!B$116:C$124,2,0))</f>
        <v>0</v>
      </c>
      <c r="I176" s="52">
        <f t="shared" si="168"/>
        <v>8</v>
      </c>
      <c r="J176" s="94" t="s">
        <v>226</v>
      </c>
      <c r="K176" s="238">
        <v>0.2</v>
      </c>
      <c r="L176" s="59">
        <f t="shared" si="169"/>
        <v>1.6</v>
      </c>
      <c r="M176" s="57">
        <f>IF(VLOOKUP(E176,'HOURLY RATES'!C$6:D$105,2,0)=0,$E$3,VLOOKUP(E176,'HOURLY RATES'!C$6:D$105,2,0))</f>
        <v>73.944999999999993</v>
      </c>
      <c r="N176" s="57">
        <f t="shared" si="170"/>
        <v>118.312</v>
      </c>
      <c r="O176" s="60">
        <v>22</v>
      </c>
      <c r="P176" s="242">
        <f t="shared" si="171"/>
        <v>176</v>
      </c>
      <c r="Q176" s="61">
        <f t="shared" si="172"/>
        <v>294.31200000000001</v>
      </c>
      <c r="R176" s="142"/>
      <c r="S176" s="108">
        <f t="shared" si="173"/>
        <v>46.730051899999999</v>
      </c>
      <c r="T176" s="107">
        <f t="shared" si="174"/>
        <v>373.8404152</v>
      </c>
    </row>
    <row r="177" spans="1:23" s="7" customFormat="1" x14ac:dyDescent="0.2">
      <c r="A177" s="141">
        <f>IF(J177&lt;&gt;"",1+MAX($A$18:A176),"")</f>
        <v>109</v>
      </c>
      <c r="B177" s="97" t="s">
        <v>817</v>
      </c>
      <c r="C177" s="97" t="s">
        <v>817</v>
      </c>
      <c r="D177" s="95" t="s">
        <v>48</v>
      </c>
      <c r="E177" s="183" t="s">
        <v>82</v>
      </c>
      <c r="F177" s="112" t="s">
        <v>780</v>
      </c>
      <c r="G177" s="115">
        <v>3</v>
      </c>
      <c r="H177" s="51">
        <f>IF(VLOOKUP(J177,'HOURLY RATES'!B$116:C$124,2,0)=0,$J$3,VLOOKUP(J177,'HOURLY RATES'!B$116:C$124,2,0))</f>
        <v>0</v>
      </c>
      <c r="I177" s="52">
        <f t="shared" si="168"/>
        <v>3</v>
      </c>
      <c r="J177" s="94" t="s">
        <v>226</v>
      </c>
      <c r="K177" s="238">
        <v>0.3735</v>
      </c>
      <c r="L177" s="59">
        <f t="shared" si="169"/>
        <v>1.1205000000000001</v>
      </c>
      <c r="M177" s="57">
        <f>IF(VLOOKUP(E177,'HOURLY RATES'!C$6:D$105,2,0)=0,$E$3,VLOOKUP(E177,'HOURLY RATES'!C$6:D$105,2,0))</f>
        <v>73.944999999999993</v>
      </c>
      <c r="N177" s="57">
        <f t="shared" si="170"/>
        <v>82.855372500000001</v>
      </c>
      <c r="O177" s="60">
        <v>45</v>
      </c>
      <c r="P177" s="242">
        <f t="shared" si="171"/>
        <v>135</v>
      </c>
      <c r="Q177" s="61">
        <f t="shared" si="172"/>
        <v>217.85537249999999</v>
      </c>
      <c r="R177" s="142"/>
      <c r="S177" s="108">
        <f t="shared" si="173"/>
        <v>92.378701484999979</v>
      </c>
      <c r="T177" s="107">
        <f t="shared" si="174"/>
        <v>277.13610445499995</v>
      </c>
    </row>
    <row r="178" spans="1:23" s="7" customFormat="1" x14ac:dyDescent="0.2">
      <c r="A178" s="141">
        <f>IF(J178&lt;&gt;"",1+MAX($A$18:A177),"")</f>
        <v>110</v>
      </c>
      <c r="B178" s="97" t="s">
        <v>817</v>
      </c>
      <c r="C178" s="97" t="s">
        <v>817</v>
      </c>
      <c r="D178" s="95" t="s">
        <v>48</v>
      </c>
      <c r="E178" s="183" t="s">
        <v>82</v>
      </c>
      <c r="F178" s="112" t="s">
        <v>904</v>
      </c>
      <c r="G178" s="115">
        <v>1</v>
      </c>
      <c r="H178" s="51">
        <f>IF(VLOOKUP(J178,'HOURLY RATES'!B$116:C$124,2,0)=0,$J$3,VLOOKUP(J178,'HOURLY RATES'!B$116:C$124,2,0))</f>
        <v>0</v>
      </c>
      <c r="I178" s="52">
        <f t="shared" ref="I178:I179" si="175">(G178*(1+H178))</f>
        <v>1</v>
      </c>
      <c r="J178" s="94" t="s">
        <v>226</v>
      </c>
      <c r="K178" s="238">
        <v>0.2324</v>
      </c>
      <c r="L178" s="59">
        <f t="shared" si="169"/>
        <v>0.2324</v>
      </c>
      <c r="M178" s="57">
        <f>IF(VLOOKUP(E178,'HOURLY RATES'!C$6:D$105,2,0)=0,$E$3,VLOOKUP(E178,'HOURLY RATES'!C$6:D$105,2,0))</f>
        <v>73.944999999999993</v>
      </c>
      <c r="N178" s="57">
        <f t="shared" si="170"/>
        <v>17.184817999999996</v>
      </c>
      <c r="O178" s="60">
        <v>28</v>
      </c>
      <c r="P178" s="242">
        <f t="shared" si="171"/>
        <v>28</v>
      </c>
      <c r="Q178" s="61">
        <f t="shared" si="172"/>
        <v>45.184817999999993</v>
      </c>
      <c r="R178" s="142"/>
      <c r="S178" s="108">
        <f t="shared" si="173"/>
        <v>57.480080923999992</v>
      </c>
      <c r="T178" s="107">
        <f t="shared" si="174"/>
        <v>57.480080923999992</v>
      </c>
    </row>
    <row r="179" spans="1:23" s="7" customFormat="1" x14ac:dyDescent="0.2">
      <c r="A179" s="141">
        <f>IF(J179&lt;&gt;"",1+MAX($A$18:A178),"")</f>
        <v>111</v>
      </c>
      <c r="B179" s="97" t="s">
        <v>817</v>
      </c>
      <c r="C179" s="97" t="s">
        <v>817</v>
      </c>
      <c r="D179" s="95" t="s">
        <v>48</v>
      </c>
      <c r="E179" s="183" t="s">
        <v>82</v>
      </c>
      <c r="F179" s="112" t="s">
        <v>767</v>
      </c>
      <c r="G179" s="115">
        <v>1</v>
      </c>
      <c r="H179" s="51">
        <f>IF(VLOOKUP(J179,'HOURLY RATES'!B$116:C$124,2,0)=0,$J$3,VLOOKUP(J179,'HOURLY RATES'!B$116:C$124,2,0))</f>
        <v>0</v>
      </c>
      <c r="I179" s="52">
        <f t="shared" si="175"/>
        <v>1</v>
      </c>
      <c r="J179" s="94" t="s">
        <v>226</v>
      </c>
      <c r="K179" s="238">
        <v>1.2035</v>
      </c>
      <c r="L179" s="59">
        <f t="shared" si="169"/>
        <v>1.2035</v>
      </c>
      <c r="M179" s="57">
        <f>IF(VLOOKUP(E179,'HOURLY RATES'!C$6:D$105,2,0)=0,$E$3,VLOOKUP(E179,'HOURLY RATES'!C$6:D$105,2,0))</f>
        <v>73.944999999999993</v>
      </c>
      <c r="N179" s="57">
        <f t="shared" si="170"/>
        <v>88.992807499999998</v>
      </c>
      <c r="O179" s="60">
        <v>145</v>
      </c>
      <c r="P179" s="242">
        <f t="shared" si="171"/>
        <v>145</v>
      </c>
      <c r="Q179" s="61">
        <f t="shared" si="172"/>
        <v>233.9928075</v>
      </c>
      <c r="R179" s="142"/>
      <c r="S179" s="108">
        <f t="shared" si="173"/>
        <v>297.66470478499997</v>
      </c>
      <c r="T179" s="107">
        <f t="shared" si="174"/>
        <v>297.66470478499997</v>
      </c>
    </row>
    <row r="180" spans="1:23" s="7" customFormat="1" x14ac:dyDescent="0.2">
      <c r="A180" s="141">
        <f>IF(J180&lt;&gt;"",1+MAX($A$18:A179),"")</f>
        <v>112</v>
      </c>
      <c r="B180" s="97" t="s">
        <v>817</v>
      </c>
      <c r="C180" s="97" t="s">
        <v>817</v>
      </c>
      <c r="D180" s="95" t="s">
        <v>48</v>
      </c>
      <c r="E180" s="183" t="s">
        <v>82</v>
      </c>
      <c r="F180" s="112" t="s">
        <v>781</v>
      </c>
      <c r="G180" s="115">
        <v>1</v>
      </c>
      <c r="H180" s="51">
        <f>IF(VLOOKUP(J180,'HOURLY RATES'!B$116:C$124,2,0)=0,$J$3,VLOOKUP(J180,'HOURLY RATES'!B$116:C$124,2,0))</f>
        <v>0</v>
      </c>
      <c r="I180" s="52">
        <f t="shared" ref="I180" si="176">(G180*(1+H180))</f>
        <v>1</v>
      </c>
      <c r="J180" s="94" t="s">
        <v>226</v>
      </c>
      <c r="K180" s="238">
        <v>2.56</v>
      </c>
      <c r="L180" s="59">
        <f t="shared" si="169"/>
        <v>2.56</v>
      </c>
      <c r="M180" s="57">
        <f>IF(VLOOKUP(E180,'HOURLY RATES'!C$6:D$105,2,0)=0,$E$3,VLOOKUP(E180,'HOURLY RATES'!C$6:D$105,2,0))</f>
        <v>73.944999999999993</v>
      </c>
      <c r="N180" s="57">
        <f t="shared" si="170"/>
        <v>189.29919999999998</v>
      </c>
      <c r="O180" s="60">
        <v>350</v>
      </c>
      <c r="P180" s="242">
        <f t="shared" si="171"/>
        <v>350</v>
      </c>
      <c r="Q180" s="61">
        <f t="shared" si="172"/>
        <v>539.29919999999993</v>
      </c>
      <c r="R180" s="142"/>
      <c r="S180" s="108">
        <f t="shared" si="173"/>
        <v>687.42858309999997</v>
      </c>
      <c r="T180" s="107">
        <f t="shared" si="174"/>
        <v>687.42858309999997</v>
      </c>
    </row>
    <row r="181" spans="1:23" s="7" customFormat="1" x14ac:dyDescent="0.2">
      <c r="A181" s="141">
        <f>IF(J181&lt;&gt;"",1+MAX($A$18:A180),"")</f>
        <v>113</v>
      </c>
      <c r="B181" s="97" t="s">
        <v>817</v>
      </c>
      <c r="C181" s="97" t="s">
        <v>817</v>
      </c>
      <c r="D181" s="95" t="s">
        <v>48</v>
      </c>
      <c r="E181" s="183" t="s">
        <v>82</v>
      </c>
      <c r="F181" s="112" t="s">
        <v>905</v>
      </c>
      <c r="G181" s="115">
        <v>50</v>
      </c>
      <c r="H181" s="51">
        <f>IF(VLOOKUP(J181,'HOURLY RATES'!B$116:C$124,2,0)=0,$J$3,VLOOKUP(J181,'HOURLY RATES'!B$116:C$124,2,0))</f>
        <v>0.05</v>
      </c>
      <c r="I181" s="52">
        <f t="shared" ref="I181:I186" si="177">(G181*(1+H181))</f>
        <v>52.5</v>
      </c>
      <c r="J181" s="94" t="s">
        <v>225</v>
      </c>
      <c r="K181" s="238">
        <v>0.1</v>
      </c>
      <c r="L181" s="59">
        <f>K181*I181</f>
        <v>5.25</v>
      </c>
      <c r="M181" s="57">
        <f>IF(VLOOKUP(E181,'HOURLY RATES'!C$6:D$105,2,0)=0,$E$3,VLOOKUP(E181,'HOURLY RATES'!C$6:D$105,2,0))</f>
        <v>73.944999999999993</v>
      </c>
      <c r="N181" s="57">
        <f>M181*L181</f>
        <v>388.21124999999995</v>
      </c>
      <c r="O181" s="60">
        <v>7</v>
      </c>
      <c r="P181" s="242">
        <f t="shared" si="171"/>
        <v>367.5</v>
      </c>
      <c r="Q181" s="61">
        <f t="shared" ref="Q181" si="178">P181+N181</f>
        <v>755.71124999999995</v>
      </c>
      <c r="R181" s="142"/>
      <c r="S181" s="108">
        <f>((((N181*(1+$D$7))+(P181*(1+$D$5+$D$6)))*(1+$D$8)))/I181</f>
        <v>18.14374415</v>
      </c>
      <c r="T181" s="107">
        <f>S181*I181</f>
        <v>952.54656787499994</v>
      </c>
    </row>
    <row r="182" spans="1:23" s="7" customFormat="1" ht="17.25" x14ac:dyDescent="0.2">
      <c r="A182" s="141">
        <f>IF(J182&lt;&gt;"",1+MAX($A$18:A181),"")</f>
        <v>114</v>
      </c>
      <c r="B182" s="111"/>
      <c r="C182" s="111"/>
      <c r="D182" s="98"/>
      <c r="E182" s="184"/>
      <c r="F182" s="278" t="s">
        <v>850</v>
      </c>
      <c r="G182" s="96">
        <f>ROUNDUP(G181*8%,0)</f>
        <v>4</v>
      </c>
      <c r="H182" s="51">
        <f>IF(VLOOKUP(J182,'HOURLY RATES'!B$116:C$124,2,0)=0,$J$3,VLOOKUP(J182,'HOURLY RATES'!B$116:C$124,2,0))</f>
        <v>0</v>
      </c>
      <c r="I182" s="52">
        <f t="shared" si="177"/>
        <v>4</v>
      </c>
      <c r="J182" s="94" t="s">
        <v>226</v>
      </c>
      <c r="K182" s="244"/>
      <c r="L182" s="245"/>
      <c r="M182" s="246"/>
      <c r="N182" s="246"/>
      <c r="O182" s="247"/>
      <c r="P182" s="247"/>
      <c r="Q182" s="248"/>
      <c r="R182" s="109"/>
      <c r="S182" s="108"/>
      <c r="T182" s="107"/>
      <c r="W182" s="3"/>
    </row>
    <row r="183" spans="1:23" s="7" customFormat="1" ht="17.25" x14ac:dyDescent="0.2">
      <c r="A183" s="141">
        <f>IF(J183&lt;&gt;"",1+MAX($A$18:A182),"")</f>
        <v>115</v>
      </c>
      <c r="B183" s="111"/>
      <c r="C183" s="111"/>
      <c r="D183" s="98"/>
      <c r="E183" s="184"/>
      <c r="F183" s="117" t="s">
        <v>768</v>
      </c>
      <c r="G183" s="96">
        <f>ROUNDUP(G181/10,0)</f>
        <v>5</v>
      </c>
      <c r="H183" s="51">
        <f>IF(VLOOKUP(J183,'HOURLY RATES'!B$116:C$124,2,0)=0,$J$3,VLOOKUP(J183,'HOURLY RATES'!B$116:C$124,2,0))</f>
        <v>0</v>
      </c>
      <c r="I183" s="52">
        <f t="shared" si="177"/>
        <v>5</v>
      </c>
      <c r="J183" s="94" t="s">
        <v>226</v>
      </c>
      <c r="K183" s="244"/>
      <c r="L183" s="245"/>
      <c r="M183" s="246"/>
      <c r="N183" s="246"/>
      <c r="O183" s="247"/>
      <c r="P183" s="247"/>
      <c r="Q183" s="248"/>
      <c r="R183" s="109"/>
      <c r="S183" s="108"/>
      <c r="T183" s="107"/>
      <c r="W183" s="3"/>
    </row>
    <row r="184" spans="1:23" s="7" customFormat="1" ht="17.25" x14ac:dyDescent="0.2">
      <c r="A184" s="141">
        <f>IF(J184&lt;&gt;"",1+MAX($A$18:A183),"")</f>
        <v>116</v>
      </c>
      <c r="B184" s="111"/>
      <c r="C184" s="111"/>
      <c r="D184" s="98"/>
      <c r="E184" s="184"/>
      <c r="F184" s="117" t="s">
        <v>769</v>
      </c>
      <c r="G184" s="96">
        <f>ROUNDUP(G181/9.2,0)+ROUNDUP(G181*4%,0)</f>
        <v>8</v>
      </c>
      <c r="H184" s="51">
        <f>IF(VLOOKUP(J184,'HOURLY RATES'!B$116:C$124,2,0)=0,$J$3,VLOOKUP(J184,'HOURLY RATES'!B$116:C$124,2,0))</f>
        <v>0</v>
      </c>
      <c r="I184" s="52">
        <f t="shared" si="177"/>
        <v>8</v>
      </c>
      <c r="J184" s="94" t="s">
        <v>226</v>
      </c>
      <c r="K184" s="244"/>
      <c r="L184" s="245"/>
      <c r="M184" s="246"/>
      <c r="N184" s="246"/>
      <c r="O184" s="247"/>
      <c r="P184" s="247"/>
      <c r="Q184" s="248"/>
      <c r="R184" s="109"/>
      <c r="S184" s="108"/>
      <c r="T184" s="107"/>
      <c r="W184" s="3"/>
    </row>
    <row r="185" spans="1:23" s="7" customFormat="1" ht="17.25" x14ac:dyDescent="0.2">
      <c r="A185" s="141">
        <f>IF(J185&lt;&gt;"",1+MAX($A$18:A184),"")</f>
        <v>117</v>
      </c>
      <c r="B185" s="111"/>
      <c r="C185" s="111"/>
      <c r="D185" s="98"/>
      <c r="E185" s="184"/>
      <c r="F185" s="117" t="s">
        <v>731</v>
      </c>
      <c r="G185" s="96">
        <f>ROUNDUP(G181/9.2,0)+ROUNDUP(G181*9%,0)</f>
        <v>11</v>
      </c>
      <c r="H185" s="51">
        <f>IF(VLOOKUP(J185,'HOURLY RATES'!B$116:C$124,2,0)=0,$J$3,VLOOKUP(J185,'HOURLY RATES'!B$116:C$124,2,0))</f>
        <v>0</v>
      </c>
      <c r="I185" s="52">
        <f t="shared" si="177"/>
        <v>11</v>
      </c>
      <c r="J185" s="94" t="s">
        <v>226</v>
      </c>
      <c r="K185" s="244"/>
      <c r="L185" s="245"/>
      <c r="M185" s="246"/>
      <c r="N185" s="246"/>
      <c r="O185" s="247"/>
      <c r="P185" s="247"/>
      <c r="Q185" s="248"/>
      <c r="R185" s="109"/>
      <c r="S185" s="108"/>
      <c r="T185" s="107"/>
      <c r="W185" s="3"/>
    </row>
    <row r="186" spans="1:23" s="7" customFormat="1" ht="17.25" x14ac:dyDescent="0.2">
      <c r="A186" s="141">
        <f>IF(J186&lt;&gt;"",1+MAX($A$18:A185),"")</f>
        <v>118</v>
      </c>
      <c r="B186" s="111"/>
      <c r="C186" s="111"/>
      <c r="D186" s="98"/>
      <c r="E186" s="184"/>
      <c r="F186" s="117" t="s">
        <v>732</v>
      </c>
      <c r="G186" s="96">
        <f>ROUNDUP(G181/9.2,0)+ROUNDUP(G181*9%,0)</f>
        <v>11</v>
      </c>
      <c r="H186" s="51">
        <f>IF(VLOOKUP(J186,'HOURLY RATES'!B$116:C$124,2,0)=0,$J$3,VLOOKUP(J186,'HOURLY RATES'!B$116:C$124,2,0))</f>
        <v>0</v>
      </c>
      <c r="I186" s="52">
        <f t="shared" si="177"/>
        <v>11</v>
      </c>
      <c r="J186" s="94" t="s">
        <v>226</v>
      </c>
      <c r="K186" s="244"/>
      <c r="L186" s="245"/>
      <c r="M186" s="246"/>
      <c r="N186" s="246"/>
      <c r="O186" s="247"/>
      <c r="P186" s="247"/>
      <c r="Q186" s="248"/>
      <c r="R186" s="109"/>
      <c r="S186" s="108"/>
      <c r="T186" s="107"/>
      <c r="W186" s="3"/>
    </row>
    <row r="187" spans="1:23" s="7" customFormat="1" ht="17.25" x14ac:dyDescent="0.2">
      <c r="A187" s="141" t="str">
        <f>IF(J187&lt;&gt;"",1+MAX($A$18:A186),"")</f>
        <v/>
      </c>
      <c r="B187" s="111"/>
      <c r="C187" s="114"/>
      <c r="D187" s="98"/>
      <c r="E187" s="184"/>
      <c r="F187" s="179" t="s">
        <v>223</v>
      </c>
      <c r="G187" s="113"/>
      <c r="H187" s="99"/>
      <c r="I187" s="100"/>
      <c r="J187" s="110"/>
      <c r="K187" s="244"/>
      <c r="L187" s="245"/>
      <c r="M187" s="246"/>
      <c r="N187" s="246"/>
      <c r="O187" s="247"/>
      <c r="P187" s="247"/>
      <c r="Q187" s="248"/>
      <c r="R187" s="109"/>
      <c r="S187" s="108"/>
      <c r="T187" s="107"/>
    </row>
    <row r="188" spans="1:23" s="7" customFormat="1" ht="17.25" x14ac:dyDescent="0.2">
      <c r="A188" s="141" t="str">
        <f>IF(J188&lt;&gt;"",1+MAX($A$18:A187),"")</f>
        <v/>
      </c>
      <c r="B188" s="111"/>
      <c r="C188" s="114"/>
      <c r="D188" s="98"/>
      <c r="E188" s="184"/>
      <c r="F188" s="180" t="s">
        <v>726</v>
      </c>
      <c r="G188" s="96"/>
      <c r="H188" s="99"/>
      <c r="I188" s="100"/>
      <c r="J188" s="110"/>
      <c r="K188" s="244"/>
      <c r="L188" s="245"/>
      <c r="M188" s="246"/>
      <c r="N188" s="246"/>
      <c r="O188" s="247"/>
      <c r="P188" s="247"/>
      <c r="Q188" s="248"/>
      <c r="R188" s="109"/>
      <c r="S188" s="108"/>
      <c r="T188" s="107"/>
    </row>
    <row r="189" spans="1:23" s="7" customFormat="1" ht="17.25" x14ac:dyDescent="0.2">
      <c r="A189" s="141" t="str">
        <f>IF(J189&lt;&gt;"",1+MAX($A$18:A188),"")</f>
        <v/>
      </c>
      <c r="B189" s="111"/>
      <c r="C189" s="114"/>
      <c r="D189" s="98"/>
      <c r="E189" s="184"/>
      <c r="F189" s="181" t="s">
        <v>727</v>
      </c>
      <c r="G189" s="96"/>
      <c r="H189" s="99"/>
      <c r="I189" s="100"/>
      <c r="J189" s="110"/>
      <c r="K189" s="244"/>
      <c r="L189" s="245"/>
      <c r="M189" s="246"/>
      <c r="N189" s="246"/>
      <c r="O189" s="247"/>
      <c r="P189" s="247"/>
      <c r="Q189" s="248"/>
      <c r="R189" s="109"/>
      <c r="S189" s="108"/>
      <c r="T189" s="107"/>
    </row>
    <row r="190" spans="1:23" s="7" customFormat="1" x14ac:dyDescent="0.2">
      <c r="A190" s="141">
        <f>IF(J190&lt;&gt;"",1+MAX($A$18:A189),"")</f>
        <v>119</v>
      </c>
      <c r="B190" s="49" t="s">
        <v>817</v>
      </c>
      <c r="C190" s="62" t="s">
        <v>817</v>
      </c>
      <c r="D190" s="95" t="s">
        <v>48</v>
      </c>
      <c r="E190" s="182" t="s">
        <v>82</v>
      </c>
      <c r="F190" s="176" t="s">
        <v>835</v>
      </c>
      <c r="G190" s="50">
        <v>1250</v>
      </c>
      <c r="H190" s="51">
        <f>IF(VLOOKUP(J190,'HOURLY RATES'!B$116:C$124,2,0)=0,$J$3,VLOOKUP(J190,'HOURLY RATES'!B$116:C$124,2,0))</f>
        <v>0.05</v>
      </c>
      <c r="I190" s="52">
        <f t="shared" ref="I190:I191" si="179">(G190*(1+H190))</f>
        <v>1312.5</v>
      </c>
      <c r="J190" s="94" t="s">
        <v>225</v>
      </c>
      <c r="K190" s="238">
        <f>3*0.00727</f>
        <v>2.1810000000000003E-2</v>
      </c>
      <c r="L190" s="59">
        <f t="shared" ref="L190:L191" si="180">K190*I190</f>
        <v>28.625625000000003</v>
      </c>
      <c r="M190" s="57">
        <f>IF(VLOOKUP(E190,'HOURLY RATES'!C$6:D$105,2,0)=0,$E$3,VLOOKUP(E190,'HOURLY RATES'!C$6:D$105,2,0))</f>
        <v>73.944999999999993</v>
      </c>
      <c r="N190" s="57">
        <f t="shared" ref="N190:N191" si="181">M190*L190</f>
        <v>2116.7218406249999</v>
      </c>
      <c r="O190" s="60">
        <f>3*0.218</f>
        <v>0.65400000000000003</v>
      </c>
      <c r="P190" s="60">
        <f t="shared" ref="P190:P192" si="182">O190*I190</f>
        <v>858.375</v>
      </c>
      <c r="Q190" s="61">
        <f t="shared" ref="Q190:Q191" si="183">P190+N190</f>
        <v>2975.0968406249999</v>
      </c>
      <c r="R190" s="142"/>
      <c r="S190" s="108">
        <f t="shared" ref="S190:S191" si="184">((((N190*(1+$D$7))+(P190*(1+$D$5+$D$6)))*(1+$D$8)))/I190</f>
        <v>2.8179974423999994</v>
      </c>
      <c r="T190" s="107">
        <f t="shared" ref="T190:T191" si="185">S190*I190</f>
        <v>3698.6216431499993</v>
      </c>
    </row>
    <row r="191" spans="1:23" s="7" customFormat="1" x14ac:dyDescent="0.2">
      <c r="A191" s="141">
        <f>IF(J191&lt;&gt;"",1+MAX($A$18:A190),"")</f>
        <v>120</v>
      </c>
      <c r="B191" s="49" t="s">
        <v>817</v>
      </c>
      <c r="C191" s="62" t="s">
        <v>817</v>
      </c>
      <c r="D191" s="95" t="s">
        <v>48</v>
      </c>
      <c r="E191" s="182" t="s">
        <v>82</v>
      </c>
      <c r="F191" s="176" t="s">
        <v>836</v>
      </c>
      <c r="G191" s="50">
        <v>300</v>
      </c>
      <c r="H191" s="51">
        <f>IF(VLOOKUP(J191,'HOURLY RATES'!B$116:C$124,2,0)=0,$J$3,VLOOKUP(J191,'HOURLY RATES'!B$116:C$124,2,0))</f>
        <v>0.05</v>
      </c>
      <c r="I191" s="52">
        <f t="shared" si="179"/>
        <v>315</v>
      </c>
      <c r="J191" s="94" t="s">
        <v>225</v>
      </c>
      <c r="K191" s="238">
        <f>4*0.00727</f>
        <v>2.9080000000000002E-2</v>
      </c>
      <c r="L191" s="59">
        <f t="shared" si="180"/>
        <v>9.1601999999999997</v>
      </c>
      <c r="M191" s="57">
        <f>IF(VLOOKUP(E191,'HOURLY RATES'!C$6:D$105,2,0)=0,$E$3,VLOOKUP(E191,'HOURLY RATES'!C$6:D$105,2,0))</f>
        <v>73.944999999999993</v>
      </c>
      <c r="N191" s="57">
        <f t="shared" si="181"/>
        <v>677.35098899999991</v>
      </c>
      <c r="O191" s="60">
        <f>4*0.218</f>
        <v>0.872</v>
      </c>
      <c r="P191" s="60">
        <f t="shared" si="182"/>
        <v>274.68</v>
      </c>
      <c r="Q191" s="61">
        <f t="shared" si="183"/>
        <v>952.03098899999986</v>
      </c>
      <c r="R191" s="142"/>
      <c r="S191" s="108">
        <f t="shared" si="184"/>
        <v>3.757329923199999</v>
      </c>
      <c r="T191" s="107">
        <f t="shared" si="185"/>
        <v>1183.5589258079997</v>
      </c>
    </row>
    <row r="192" spans="1:23" s="7" customFormat="1" x14ac:dyDescent="0.2">
      <c r="A192" s="141">
        <f>IF(J192&lt;&gt;"",1+MAX($A$18:A191),"")</f>
        <v>121</v>
      </c>
      <c r="B192" s="49" t="s">
        <v>817</v>
      </c>
      <c r="C192" s="62" t="s">
        <v>817</v>
      </c>
      <c r="D192" s="95" t="s">
        <v>48</v>
      </c>
      <c r="E192" s="182" t="s">
        <v>82</v>
      </c>
      <c r="F192" s="176" t="s">
        <v>906</v>
      </c>
      <c r="G192" s="50">
        <v>780</v>
      </c>
      <c r="H192" s="51">
        <f>IF(VLOOKUP(J192,'HOURLY RATES'!B$116:C$124,2,0)=0,$J$3,VLOOKUP(J192,'HOURLY RATES'!B$116:C$124,2,0))</f>
        <v>0.05</v>
      </c>
      <c r="I192" s="52">
        <f>(G192*(1+H192))</f>
        <v>819</v>
      </c>
      <c r="J192" s="94" t="s">
        <v>225</v>
      </c>
      <c r="K192" s="238">
        <f>3*0.02424</f>
        <v>7.2720000000000007E-2</v>
      </c>
      <c r="L192" s="59">
        <f>K192*I192</f>
        <v>59.557680000000005</v>
      </c>
      <c r="M192" s="57">
        <f>IF(VLOOKUP(E192,'HOURLY RATES'!C$6:D$105,2,0)=0,$E$3,VLOOKUP(E192,'HOURLY RATES'!C$6:D$105,2,0))</f>
        <v>73.944999999999993</v>
      </c>
      <c r="N192" s="57">
        <f>M192*L192</f>
        <v>4403.9926476000001</v>
      </c>
      <c r="O192" s="60">
        <f>3*2.5756</f>
        <v>7.7268000000000008</v>
      </c>
      <c r="P192" s="60">
        <f t="shared" si="182"/>
        <v>6328.2492000000002</v>
      </c>
      <c r="Q192" s="61">
        <f>P192+N192</f>
        <v>10732.2418476</v>
      </c>
      <c r="R192" s="142"/>
      <c r="S192" s="108">
        <f>((((N192*(1+$D$7))+(P192*(1+$D$5+$D$6)))*(1+$D$8)))/I192</f>
        <v>16.635477580259998</v>
      </c>
      <c r="T192" s="107">
        <f>S192*I192</f>
        <v>13624.456138232939</v>
      </c>
    </row>
    <row r="193" spans="1:23" s="7" customFormat="1" x14ac:dyDescent="0.2">
      <c r="A193" s="141" t="str">
        <f>IF(J193&lt;&gt;"",1+MAX($A$18:A192),"")</f>
        <v/>
      </c>
      <c r="B193" s="49"/>
      <c r="C193" s="62"/>
      <c r="D193" s="95"/>
      <c r="E193" s="182"/>
      <c r="F193" s="176" t="s">
        <v>223</v>
      </c>
      <c r="G193" s="50"/>
      <c r="H193" s="51"/>
      <c r="I193" s="52"/>
      <c r="J193" s="94"/>
      <c r="K193" s="238"/>
      <c r="L193" s="59"/>
      <c r="M193" s="57"/>
      <c r="N193" s="57"/>
      <c r="O193" s="60"/>
      <c r="P193" s="60"/>
      <c r="Q193" s="61"/>
      <c r="R193" s="142"/>
      <c r="S193" s="108"/>
      <c r="T193" s="107"/>
    </row>
    <row r="194" spans="1:23" s="7" customFormat="1" x14ac:dyDescent="0.2">
      <c r="A194" s="141">
        <f>IF(J194&lt;&gt;"",1+MAX($A$18:A193),"")</f>
        <v>122</v>
      </c>
      <c r="B194" s="49" t="s">
        <v>817</v>
      </c>
      <c r="C194" s="62" t="s">
        <v>817</v>
      </c>
      <c r="D194" s="95" t="s">
        <v>48</v>
      </c>
      <c r="E194" s="182" t="s">
        <v>82</v>
      </c>
      <c r="F194" s="176" t="s">
        <v>907</v>
      </c>
      <c r="G194" s="50">
        <v>730</v>
      </c>
      <c r="H194" s="51">
        <f>IF(VLOOKUP(J194,'HOURLY RATES'!B$116:C$124,2,0)=0,$J$3,VLOOKUP(J194,'HOURLY RATES'!B$116:C$124,2,0))</f>
        <v>0.05</v>
      </c>
      <c r="I194" s="52">
        <f>(G194*(1+H194))</f>
        <v>766.5</v>
      </c>
      <c r="J194" s="94" t="s">
        <v>225</v>
      </c>
      <c r="K194" s="238">
        <v>9.9000000000000005E-2</v>
      </c>
      <c r="L194" s="59">
        <f>K194*I194</f>
        <v>75.883499999999998</v>
      </c>
      <c r="M194" s="57">
        <f>IF(VLOOKUP(E194,'HOURLY RATES'!C$6:D$105,2,0)=0,$E$3,VLOOKUP(E194,'HOURLY RATES'!C$6:D$105,2,0))</f>
        <v>73.944999999999993</v>
      </c>
      <c r="N194" s="57">
        <f>M194*L194</f>
        <v>5611.2054074999996</v>
      </c>
      <c r="O194" s="60">
        <v>1.56</v>
      </c>
      <c r="P194" s="60">
        <f t="shared" ref="P194:P195" si="186">O194*I194</f>
        <v>1195.74</v>
      </c>
      <c r="Q194" s="61">
        <f>P194+N194</f>
        <v>6806.9454074999994</v>
      </c>
      <c r="R194" s="142"/>
      <c r="S194" s="108">
        <f>((((N194*(1+$D$7))+(P194*(1+$D$5+$D$6)))*(1+$D$8)))/I194</f>
        <v>10.952735891999998</v>
      </c>
      <c r="T194" s="107">
        <f>S194*I194</f>
        <v>8395.2720612179983</v>
      </c>
    </row>
    <row r="195" spans="1:23" s="7" customFormat="1" x14ac:dyDescent="0.2">
      <c r="A195" s="141">
        <f>IF(J195&lt;&gt;"",1+MAX($A$18:A194),"")</f>
        <v>123</v>
      </c>
      <c r="B195" s="49" t="s">
        <v>817</v>
      </c>
      <c r="C195" s="62" t="s">
        <v>817</v>
      </c>
      <c r="D195" s="95" t="s">
        <v>48</v>
      </c>
      <c r="E195" s="182" t="s">
        <v>82</v>
      </c>
      <c r="F195" s="176" t="s">
        <v>808</v>
      </c>
      <c r="G195" s="50">
        <v>50</v>
      </c>
      <c r="H195" s="51">
        <f>IF(VLOOKUP(J195,'HOURLY RATES'!B$116:C$124,2,0)=0,$J$3,VLOOKUP(J195,'HOURLY RATES'!B$116:C$124,2,0))</f>
        <v>0.05</v>
      </c>
      <c r="I195" s="52">
        <f t="shared" ref="I195:I200" si="187">(G195*(1+H195))</f>
        <v>52.5</v>
      </c>
      <c r="J195" s="94" t="s">
        <v>225</v>
      </c>
      <c r="K195" s="238">
        <v>7.0000000000000007E-2</v>
      </c>
      <c r="L195" s="59">
        <f t="shared" ref="L195" si="188">K195*I195</f>
        <v>3.6750000000000003</v>
      </c>
      <c r="M195" s="57">
        <f>IF(VLOOKUP(E195,'HOURLY RATES'!C$6:D$105,2,0)=0,$E$3,VLOOKUP(E195,'HOURLY RATES'!C$6:D$105,2,0))</f>
        <v>73.944999999999993</v>
      </c>
      <c r="N195" s="57">
        <f t="shared" ref="N195" si="189">M195*L195</f>
        <v>271.74787500000002</v>
      </c>
      <c r="O195" s="60">
        <v>3.11</v>
      </c>
      <c r="P195" s="60">
        <f t="shared" si="186"/>
        <v>163.27500000000001</v>
      </c>
      <c r="Q195" s="61">
        <f t="shared" ref="Q195" si="190">P195+N195</f>
        <v>435.022875</v>
      </c>
      <c r="R195" s="142"/>
      <c r="S195" s="108">
        <f t="shared" ref="S195" si="191">((((N195*(1+$D$7))+(P195*(1+$D$5+$D$6)))*(1+$D$8)))/I195</f>
        <v>10.364097299499999</v>
      </c>
      <c r="T195" s="107">
        <f t="shared" ref="T195" si="192">S195*I195</f>
        <v>544.11510822374998</v>
      </c>
    </row>
    <row r="196" spans="1:23" s="7" customFormat="1" ht="17.25" x14ac:dyDescent="0.2">
      <c r="A196" s="141">
        <f>IF(J196&lt;&gt;"",1+MAX($A$18:A195),"")</f>
        <v>124</v>
      </c>
      <c r="B196" s="111"/>
      <c r="C196" s="111"/>
      <c r="D196" s="98"/>
      <c r="E196" s="184"/>
      <c r="F196" s="278" t="s">
        <v>847</v>
      </c>
      <c r="G196" s="96">
        <f>ROUNDUP(G195*8%,0)</f>
        <v>4</v>
      </c>
      <c r="H196" s="51">
        <f>IF(VLOOKUP(J196,'HOURLY RATES'!B$116:C$124,2,0)=0,$J$3,VLOOKUP(J196,'HOURLY RATES'!B$116:C$124,2,0))</f>
        <v>0</v>
      </c>
      <c r="I196" s="52">
        <f t="shared" si="187"/>
        <v>4</v>
      </c>
      <c r="J196" s="94" t="s">
        <v>226</v>
      </c>
      <c r="K196" s="244"/>
      <c r="L196" s="245"/>
      <c r="M196" s="246"/>
      <c r="N196" s="246"/>
      <c r="O196" s="247"/>
      <c r="P196" s="247"/>
      <c r="Q196" s="248"/>
      <c r="R196" s="109"/>
      <c r="S196" s="108"/>
      <c r="T196" s="107"/>
      <c r="W196" s="3"/>
    </row>
    <row r="197" spans="1:23" s="7" customFormat="1" ht="17.25" x14ac:dyDescent="0.2">
      <c r="A197" s="141">
        <f>IF(J197&lt;&gt;"",1+MAX($A$18:A196),"")</f>
        <v>125</v>
      </c>
      <c r="B197" s="111"/>
      <c r="C197" s="111"/>
      <c r="D197" s="98"/>
      <c r="E197" s="184"/>
      <c r="F197" s="117" t="s">
        <v>761</v>
      </c>
      <c r="G197" s="96">
        <f>ROUNDUP(G195/10,0)</f>
        <v>5</v>
      </c>
      <c r="H197" s="51">
        <f>IF(VLOOKUP(J197,'HOURLY RATES'!B$116:C$124,2,0)=0,$J$3,VLOOKUP(J197,'HOURLY RATES'!B$116:C$124,2,0))</f>
        <v>0</v>
      </c>
      <c r="I197" s="52">
        <f t="shared" si="187"/>
        <v>5</v>
      </c>
      <c r="J197" s="94" t="s">
        <v>226</v>
      </c>
      <c r="K197" s="244"/>
      <c r="L197" s="245"/>
      <c r="M197" s="246"/>
      <c r="N197" s="246"/>
      <c r="O197" s="247"/>
      <c r="P197" s="247"/>
      <c r="Q197" s="248"/>
      <c r="R197" s="109"/>
      <c r="S197" s="108"/>
      <c r="T197" s="107"/>
      <c r="W197" s="3"/>
    </row>
    <row r="198" spans="1:23" s="7" customFormat="1" ht="17.25" x14ac:dyDescent="0.2">
      <c r="A198" s="141">
        <f>IF(J198&lt;&gt;"",1+MAX($A$18:A197),"")</f>
        <v>126</v>
      </c>
      <c r="B198" s="111"/>
      <c r="C198" s="111"/>
      <c r="D198" s="98"/>
      <c r="E198" s="184"/>
      <c r="F198" s="117" t="s">
        <v>762</v>
      </c>
      <c r="G198" s="96">
        <f>ROUNDUP(G195/9.2,0)+ROUNDUP(G195*4%,0)</f>
        <v>8</v>
      </c>
      <c r="H198" s="51">
        <f>IF(VLOOKUP(J198,'HOURLY RATES'!B$116:C$124,2,0)=0,$J$3,VLOOKUP(J198,'HOURLY RATES'!B$116:C$124,2,0))</f>
        <v>0</v>
      </c>
      <c r="I198" s="52">
        <f t="shared" si="187"/>
        <v>8</v>
      </c>
      <c r="J198" s="94" t="s">
        <v>226</v>
      </c>
      <c r="K198" s="244"/>
      <c r="L198" s="245"/>
      <c r="M198" s="246"/>
      <c r="N198" s="246"/>
      <c r="O198" s="247"/>
      <c r="P198" s="247"/>
      <c r="Q198" s="248"/>
      <c r="R198" s="109"/>
      <c r="S198" s="108"/>
      <c r="T198" s="107"/>
      <c r="W198" s="3"/>
    </row>
    <row r="199" spans="1:23" s="7" customFormat="1" ht="17.25" x14ac:dyDescent="0.2">
      <c r="A199" s="141">
        <f>IF(J199&lt;&gt;"",1+MAX($A$18:A198),"")</f>
        <v>127</v>
      </c>
      <c r="B199" s="111"/>
      <c r="C199" s="111"/>
      <c r="D199" s="98"/>
      <c r="E199" s="184"/>
      <c r="F199" s="117" t="s">
        <v>731</v>
      </c>
      <c r="G199" s="96">
        <f>ROUNDUP(G195/9.2,0)+ROUNDUP(G195*9%,0)</f>
        <v>11</v>
      </c>
      <c r="H199" s="51">
        <f>IF(VLOOKUP(J199,'HOURLY RATES'!B$116:C$124,2,0)=0,$J$3,VLOOKUP(J199,'HOURLY RATES'!B$116:C$124,2,0))</f>
        <v>0</v>
      </c>
      <c r="I199" s="52">
        <f t="shared" si="187"/>
        <v>11</v>
      </c>
      <c r="J199" s="94" t="s">
        <v>226</v>
      </c>
      <c r="K199" s="244"/>
      <c r="L199" s="245"/>
      <c r="M199" s="246"/>
      <c r="N199" s="246"/>
      <c r="O199" s="247"/>
      <c r="P199" s="247"/>
      <c r="Q199" s="248"/>
      <c r="R199" s="109"/>
      <c r="S199" s="108"/>
      <c r="T199" s="107"/>
      <c r="W199" s="3"/>
    </row>
    <row r="200" spans="1:23" s="7" customFormat="1" ht="17.25" x14ac:dyDescent="0.2">
      <c r="A200" s="141">
        <f>IF(J200&lt;&gt;"",1+MAX($A$18:A199),"")</f>
        <v>128</v>
      </c>
      <c r="B200" s="111"/>
      <c r="C200" s="111"/>
      <c r="D200" s="98"/>
      <c r="E200" s="184"/>
      <c r="F200" s="117" t="s">
        <v>732</v>
      </c>
      <c r="G200" s="96">
        <f>ROUNDUP(G195/9.2,0)+ROUNDUP(G195*9%,0)</f>
        <v>11</v>
      </c>
      <c r="H200" s="51">
        <f>IF(VLOOKUP(J200,'HOURLY RATES'!B$116:C$124,2,0)=0,$J$3,VLOOKUP(J200,'HOURLY RATES'!B$116:C$124,2,0))</f>
        <v>0</v>
      </c>
      <c r="I200" s="52">
        <f t="shared" si="187"/>
        <v>11</v>
      </c>
      <c r="J200" s="94" t="s">
        <v>226</v>
      </c>
      <c r="K200" s="244"/>
      <c r="L200" s="245"/>
      <c r="M200" s="246"/>
      <c r="N200" s="246"/>
      <c r="O200" s="247"/>
      <c r="P200" s="247"/>
      <c r="Q200" s="248"/>
      <c r="R200" s="109"/>
      <c r="S200" s="108"/>
      <c r="T200" s="107"/>
      <c r="W200" s="3"/>
    </row>
    <row r="201" spans="1:23" s="7" customFormat="1" x14ac:dyDescent="0.2">
      <c r="A201" s="141">
        <f>IF(J201&lt;&gt;"",1+MAX($A$18:A200),"")</f>
        <v>129</v>
      </c>
      <c r="B201" s="111"/>
      <c r="C201" s="111"/>
      <c r="D201" s="95" t="s">
        <v>48</v>
      </c>
      <c r="E201" s="183" t="s">
        <v>82</v>
      </c>
      <c r="F201" s="112" t="s">
        <v>728</v>
      </c>
      <c r="G201" s="115">
        <v>1459</v>
      </c>
      <c r="H201" s="51">
        <f>IF(VLOOKUP(J201,'HOURLY RATES'!B$116:C$124,2,0)=0,$J$3,VLOOKUP(J201,'HOURLY RATES'!B$116:C$124,2,0))</f>
        <v>0.05</v>
      </c>
      <c r="I201" s="52">
        <f t="shared" ref="I201:I206" si="193">(G201*(1+H201))</f>
        <v>1531.95</v>
      </c>
      <c r="J201" s="94" t="s">
        <v>225</v>
      </c>
      <c r="K201" s="238">
        <v>6.2E-2</v>
      </c>
      <c r="L201" s="59">
        <f>K201*I201</f>
        <v>94.980900000000005</v>
      </c>
      <c r="M201" s="57">
        <f>IF(VLOOKUP(E201,'HOURLY RATES'!C$6:D$105,2,0)=0,$E$3,VLOOKUP(E201,'HOURLY RATES'!C$6:D$105,2,0))</f>
        <v>73.944999999999993</v>
      </c>
      <c r="N201" s="57">
        <f>M201*L201</f>
        <v>7023.3626505000002</v>
      </c>
      <c r="O201" s="60">
        <v>1.7</v>
      </c>
      <c r="P201" s="242">
        <f>O201*I201</f>
        <v>2604.3150000000001</v>
      </c>
      <c r="Q201" s="61">
        <f t="shared" ref="Q201" si="194">P201+N201</f>
        <v>9627.6776504999998</v>
      </c>
      <c r="R201" s="142"/>
      <c r="S201" s="108">
        <f>((((N201*(1+$D$7))+(P201*(1+$D$5+$D$6)))*(1+$D$8)))/I201</f>
        <v>7.8030753849999996</v>
      </c>
      <c r="T201" s="107">
        <f>S201*I201</f>
        <v>11953.921336050749</v>
      </c>
      <c r="W201" s="3"/>
    </row>
    <row r="202" spans="1:23" s="7" customFormat="1" ht="17.25" x14ac:dyDescent="0.2">
      <c r="A202" s="141">
        <f>IF(J202&lt;&gt;"",1+MAX($A$18:A201),"")</f>
        <v>130</v>
      </c>
      <c r="B202" s="111"/>
      <c r="C202" s="111"/>
      <c r="D202" s="98"/>
      <c r="E202" s="184"/>
      <c r="F202" s="278" t="s">
        <v>846</v>
      </c>
      <c r="G202" s="96">
        <f>ROUNDUP(G201*8%,0)</f>
        <v>117</v>
      </c>
      <c r="H202" s="51">
        <f>IF(VLOOKUP(J202,'HOURLY RATES'!B$116:C$124,2,0)=0,$J$3,VLOOKUP(J202,'HOURLY RATES'!B$116:C$124,2,0))</f>
        <v>0</v>
      </c>
      <c r="I202" s="52">
        <f t="shared" si="193"/>
        <v>117</v>
      </c>
      <c r="J202" s="94" t="s">
        <v>226</v>
      </c>
      <c r="K202" s="244"/>
      <c r="L202" s="245"/>
      <c r="M202" s="246"/>
      <c r="N202" s="246"/>
      <c r="O202" s="247"/>
      <c r="P202" s="247"/>
      <c r="Q202" s="248"/>
      <c r="R202" s="109"/>
      <c r="S202" s="108"/>
      <c r="T202" s="107"/>
      <c r="W202" s="3"/>
    </row>
    <row r="203" spans="1:23" s="7" customFormat="1" ht="17.25" x14ac:dyDescent="0.2">
      <c r="A203" s="141">
        <f>IF(J203&lt;&gt;"",1+MAX($A$18:A202),"")</f>
        <v>131</v>
      </c>
      <c r="B203" s="111"/>
      <c r="C203" s="111"/>
      <c r="D203" s="98"/>
      <c r="E203" s="184"/>
      <c r="F203" s="117" t="s">
        <v>729</v>
      </c>
      <c r="G203" s="96">
        <f>ROUNDUP(G201/10,0)</f>
        <v>146</v>
      </c>
      <c r="H203" s="51">
        <f>IF(VLOOKUP(J203,'HOURLY RATES'!B$116:C$124,2,0)=0,$J$3,VLOOKUP(J203,'HOURLY RATES'!B$116:C$124,2,0))</f>
        <v>0</v>
      </c>
      <c r="I203" s="52">
        <f t="shared" si="193"/>
        <v>146</v>
      </c>
      <c r="J203" s="94" t="s">
        <v>226</v>
      </c>
      <c r="K203" s="244"/>
      <c r="L203" s="245"/>
      <c r="M203" s="246"/>
      <c r="N203" s="246"/>
      <c r="O203" s="247"/>
      <c r="P203" s="247"/>
      <c r="Q203" s="248"/>
      <c r="R203" s="109"/>
      <c r="S203" s="108"/>
      <c r="T203" s="107"/>
      <c r="W203" s="3"/>
    </row>
    <row r="204" spans="1:23" s="7" customFormat="1" ht="17.25" x14ac:dyDescent="0.2">
      <c r="A204" s="141">
        <f>IF(J204&lt;&gt;"",1+MAX($A$18:A203),"")</f>
        <v>132</v>
      </c>
      <c r="B204" s="111"/>
      <c r="C204" s="111"/>
      <c r="D204" s="98"/>
      <c r="E204" s="184"/>
      <c r="F204" s="117" t="s">
        <v>730</v>
      </c>
      <c r="G204" s="96">
        <f>ROUNDUP(G201/9.2,0)+ROUNDUP(G201*4%,0)</f>
        <v>218</v>
      </c>
      <c r="H204" s="51">
        <f>IF(VLOOKUP(J204,'HOURLY RATES'!B$116:C$124,2,0)=0,$J$3,VLOOKUP(J204,'HOURLY RATES'!B$116:C$124,2,0))</f>
        <v>0</v>
      </c>
      <c r="I204" s="52">
        <f t="shared" si="193"/>
        <v>218</v>
      </c>
      <c r="J204" s="94" t="s">
        <v>226</v>
      </c>
      <c r="K204" s="244"/>
      <c r="L204" s="245"/>
      <c r="M204" s="246"/>
      <c r="N204" s="246"/>
      <c r="O204" s="247"/>
      <c r="P204" s="247"/>
      <c r="Q204" s="248"/>
      <c r="R204" s="109"/>
      <c r="S204" s="108"/>
      <c r="T204" s="107"/>
      <c r="W204" s="3"/>
    </row>
    <row r="205" spans="1:23" s="7" customFormat="1" ht="17.25" x14ac:dyDescent="0.2">
      <c r="A205" s="141">
        <f>IF(J205&lt;&gt;"",1+MAX($A$18:A204),"")</f>
        <v>133</v>
      </c>
      <c r="B205" s="111"/>
      <c r="C205" s="111"/>
      <c r="D205" s="98"/>
      <c r="E205" s="184"/>
      <c r="F205" s="117" t="s">
        <v>731</v>
      </c>
      <c r="G205" s="96">
        <f>ROUNDUP(G201/9.2,0)+ROUNDUP(G201*9%,0)</f>
        <v>291</v>
      </c>
      <c r="H205" s="51">
        <f>IF(VLOOKUP(J205,'HOURLY RATES'!B$116:C$124,2,0)=0,$J$3,VLOOKUP(J205,'HOURLY RATES'!B$116:C$124,2,0))</f>
        <v>0</v>
      </c>
      <c r="I205" s="52">
        <f t="shared" si="193"/>
        <v>291</v>
      </c>
      <c r="J205" s="94" t="s">
        <v>226</v>
      </c>
      <c r="K205" s="244"/>
      <c r="L205" s="245"/>
      <c r="M205" s="246"/>
      <c r="N205" s="246"/>
      <c r="O205" s="247"/>
      <c r="P205" s="247"/>
      <c r="Q205" s="248"/>
      <c r="R205" s="109"/>
      <c r="S205" s="108"/>
      <c r="T205" s="107"/>
      <c r="W205" s="3"/>
    </row>
    <row r="206" spans="1:23" s="7" customFormat="1" ht="17.25" x14ac:dyDescent="0.2">
      <c r="A206" s="141">
        <f>IF(J206&lt;&gt;"",1+MAX($A$18:A205),"")</f>
        <v>134</v>
      </c>
      <c r="B206" s="111"/>
      <c r="C206" s="111"/>
      <c r="D206" s="98"/>
      <c r="E206" s="184"/>
      <c r="F206" s="117" t="s">
        <v>732</v>
      </c>
      <c r="G206" s="96">
        <f>ROUNDUP(G201/9.2,0)+ROUNDUP(G201*9%,0)</f>
        <v>291</v>
      </c>
      <c r="H206" s="51">
        <f>IF(VLOOKUP(J206,'HOURLY RATES'!B$116:C$124,2,0)=0,$J$3,VLOOKUP(J206,'HOURLY RATES'!B$116:C$124,2,0))</f>
        <v>0</v>
      </c>
      <c r="I206" s="52">
        <f t="shared" si="193"/>
        <v>291</v>
      </c>
      <c r="J206" s="94" t="s">
        <v>226</v>
      </c>
      <c r="K206" s="244"/>
      <c r="L206" s="245"/>
      <c r="M206" s="246"/>
      <c r="N206" s="246"/>
      <c r="O206" s="247"/>
      <c r="P206" s="247"/>
      <c r="Q206" s="248"/>
      <c r="R206" s="109"/>
      <c r="S206" s="108"/>
      <c r="T206" s="107"/>
      <c r="W206" s="3"/>
    </row>
    <row r="207" spans="1:23" s="7" customFormat="1" ht="17.25" x14ac:dyDescent="0.2">
      <c r="A207" s="141" t="str">
        <f>IF(J207&lt;&gt;"",1+MAX($A$18:A206),"")</f>
        <v/>
      </c>
      <c r="B207" s="111"/>
      <c r="C207" s="114"/>
      <c r="D207" s="98"/>
      <c r="E207" s="184"/>
      <c r="F207" s="118" t="s">
        <v>223</v>
      </c>
      <c r="G207" s="96"/>
      <c r="H207" s="99"/>
      <c r="I207" s="100"/>
      <c r="J207" s="94"/>
      <c r="K207" s="244"/>
      <c r="L207" s="245"/>
      <c r="M207" s="246"/>
      <c r="N207" s="246"/>
      <c r="O207" s="247"/>
      <c r="P207" s="247"/>
      <c r="Q207" s="248"/>
      <c r="R207" s="109"/>
      <c r="S207" s="108"/>
      <c r="T207" s="107"/>
      <c r="W207" s="3"/>
    </row>
    <row r="208" spans="1:23" s="7" customFormat="1" ht="17.25" x14ac:dyDescent="0.2">
      <c r="A208" s="141" t="str">
        <f>IF(J208&lt;&gt;"",1+MAX($A$18:A207),"")</f>
        <v/>
      </c>
      <c r="B208" s="111"/>
      <c r="C208" s="114"/>
      <c r="D208" s="98"/>
      <c r="E208" s="184"/>
      <c r="F208" s="181" t="s">
        <v>733</v>
      </c>
      <c r="G208" s="96"/>
      <c r="H208" s="99"/>
      <c r="I208" s="100"/>
      <c r="J208" s="110"/>
      <c r="K208" s="244"/>
      <c r="L208" s="245"/>
      <c r="M208" s="246"/>
      <c r="N208" s="246"/>
      <c r="O208" s="247"/>
      <c r="P208" s="247"/>
      <c r="Q208" s="248"/>
      <c r="R208" s="109"/>
      <c r="S208" s="108"/>
      <c r="T208" s="107"/>
    </row>
    <row r="209" spans="1:20" s="7" customFormat="1" x14ac:dyDescent="0.2">
      <c r="A209" s="141">
        <f>IF(J209&lt;&gt;"",1+MAX($A$18:A208),"")</f>
        <v>135</v>
      </c>
      <c r="B209" s="49" t="s">
        <v>817</v>
      </c>
      <c r="C209" s="62" t="s">
        <v>817</v>
      </c>
      <c r="D209" s="95" t="s">
        <v>48</v>
      </c>
      <c r="E209" s="182" t="s">
        <v>82</v>
      </c>
      <c r="F209" s="176" t="s">
        <v>822</v>
      </c>
      <c r="G209" s="50">
        <v>3493</v>
      </c>
      <c r="H209" s="51">
        <f>IF(VLOOKUP(J209,'HOURLY RATES'!B$116:C$124,2,0)=0,$J$3,VLOOKUP(J209,'HOURLY RATES'!B$116:C$124,2,0))</f>
        <v>0.05</v>
      </c>
      <c r="I209" s="52">
        <f t="shared" ref="I209:I213" si="195">(G209*(1+H209))</f>
        <v>3667.65</v>
      </c>
      <c r="J209" s="94" t="s">
        <v>225</v>
      </c>
      <c r="K209" s="238">
        <f>3*0.00727</f>
        <v>2.1810000000000003E-2</v>
      </c>
      <c r="L209" s="59">
        <f t="shared" ref="L209" si="196">K209*I209</f>
        <v>79.991446500000009</v>
      </c>
      <c r="M209" s="57">
        <f>IF(VLOOKUP(E209,'HOURLY RATES'!C$6:D$105,2,0)=0,$E$3,VLOOKUP(E209,'HOURLY RATES'!C$6:D$105,2,0))</f>
        <v>73.944999999999993</v>
      </c>
      <c r="N209" s="57">
        <f t="shared" ref="N209" si="197">M209*L209</f>
        <v>5914.9675114424999</v>
      </c>
      <c r="O209" s="60">
        <f>3*0.218</f>
        <v>0.65400000000000003</v>
      </c>
      <c r="P209" s="60">
        <f t="shared" ref="P209:P214" si="198">O209*I209</f>
        <v>2398.6431000000002</v>
      </c>
      <c r="Q209" s="61">
        <f t="shared" ref="Q209:Q214" si="199">P209+N209</f>
        <v>8313.6106114425002</v>
      </c>
      <c r="R209" s="142"/>
      <c r="S209" s="108">
        <f t="shared" ref="S209:S214" si="200">((((N209*(1+$D$7))+(P209*(1+$D$5+$D$6)))*(1+$D$8)))/I209</f>
        <v>2.8179974423999994</v>
      </c>
      <c r="T209" s="107">
        <f t="shared" ref="T209:T214" si="201">S209*I209</f>
        <v>10335.428319618359</v>
      </c>
    </row>
    <row r="210" spans="1:20" s="7" customFormat="1" x14ac:dyDescent="0.2">
      <c r="A210" s="141">
        <f>IF(J210&lt;&gt;"",1+MAX($A$18:A209),"")</f>
        <v>136</v>
      </c>
      <c r="B210" s="49" t="s">
        <v>817</v>
      </c>
      <c r="C210" s="62" t="s">
        <v>817</v>
      </c>
      <c r="D210" s="95" t="s">
        <v>48</v>
      </c>
      <c r="E210" s="182" t="s">
        <v>82</v>
      </c>
      <c r="F210" s="176" t="s">
        <v>823</v>
      </c>
      <c r="G210" s="50">
        <f>135*3</f>
        <v>405</v>
      </c>
      <c r="H210" s="51">
        <f>IF(VLOOKUP(J210,'HOURLY RATES'!B$116:C$124,2,0)=0,$J$3,VLOOKUP(J210,'HOURLY RATES'!B$116:C$124,2,0))</f>
        <v>0.05</v>
      </c>
      <c r="I210" s="52">
        <f t="shared" si="195"/>
        <v>425.25</v>
      </c>
      <c r="J210" s="94" t="s">
        <v>225</v>
      </c>
      <c r="K210" s="238">
        <f>4*0.008</f>
        <v>3.2000000000000001E-2</v>
      </c>
      <c r="L210" s="59">
        <f t="shared" ref="L210:L214" si="202">K210*I210</f>
        <v>13.608000000000001</v>
      </c>
      <c r="M210" s="57">
        <f>IF(VLOOKUP(E210,'HOURLY RATES'!C$6:D$105,2,0)=0,$E$3,VLOOKUP(E210,'HOURLY RATES'!C$6:D$105,2,0))</f>
        <v>73.944999999999993</v>
      </c>
      <c r="N210" s="57">
        <f t="shared" ref="N210:N214" si="203">M210*L210</f>
        <v>1006.24356</v>
      </c>
      <c r="O210" s="60">
        <f>4*0.2991</f>
        <v>1.1963999999999999</v>
      </c>
      <c r="P210" s="60">
        <f t="shared" si="198"/>
        <v>508.76909999999998</v>
      </c>
      <c r="Q210" s="61">
        <f t="shared" si="199"/>
        <v>1515.0126599999999</v>
      </c>
      <c r="R210" s="142"/>
      <c r="S210" s="108">
        <f t="shared" si="200"/>
        <v>4.4437657063799998</v>
      </c>
      <c r="T210" s="107">
        <f t="shared" si="201"/>
        <v>1889.7113666380949</v>
      </c>
    </row>
    <row r="211" spans="1:20" s="7" customFormat="1" x14ac:dyDescent="0.2">
      <c r="A211" s="141">
        <f>IF(J211&lt;&gt;"",1+MAX($A$18:A210),"")</f>
        <v>137</v>
      </c>
      <c r="B211" s="49" t="s">
        <v>817</v>
      </c>
      <c r="C211" s="62" t="s">
        <v>817</v>
      </c>
      <c r="D211" s="95" t="s">
        <v>48</v>
      </c>
      <c r="E211" s="182" t="s">
        <v>82</v>
      </c>
      <c r="F211" s="176" t="s">
        <v>821</v>
      </c>
      <c r="G211" s="50">
        <f>39*3</f>
        <v>117</v>
      </c>
      <c r="H211" s="51">
        <f>IF(VLOOKUP(J211,'HOURLY RATES'!B$116:C$124,2,0)=0,$J$3,VLOOKUP(J211,'HOURLY RATES'!B$116:C$124,2,0))</f>
        <v>0.05</v>
      </c>
      <c r="I211" s="52">
        <f t="shared" si="195"/>
        <v>122.85000000000001</v>
      </c>
      <c r="J211" s="94" t="s">
        <v>225</v>
      </c>
      <c r="K211" s="238">
        <f>2*0.01</f>
        <v>0.02</v>
      </c>
      <c r="L211" s="59">
        <f t="shared" si="202"/>
        <v>2.4570000000000003</v>
      </c>
      <c r="M211" s="57">
        <f>IF(VLOOKUP(E211,'HOURLY RATES'!C$6:D$105,2,0)=0,$E$3,VLOOKUP(E211,'HOURLY RATES'!C$6:D$105,2,0))</f>
        <v>73.944999999999993</v>
      </c>
      <c r="N211" s="57">
        <f t="shared" si="203"/>
        <v>181.68286499999999</v>
      </c>
      <c r="O211" s="60">
        <f>2*0.4563</f>
        <v>0.91259999999999997</v>
      </c>
      <c r="P211" s="60">
        <f t="shared" si="198"/>
        <v>112.11291</v>
      </c>
      <c r="Q211" s="61">
        <f t="shared" si="199"/>
        <v>293.79577499999999</v>
      </c>
      <c r="R211" s="142"/>
      <c r="S211" s="108">
        <f t="shared" si="200"/>
        <v>2.9925356426699992</v>
      </c>
      <c r="T211" s="107">
        <f t="shared" si="201"/>
        <v>367.63300370200943</v>
      </c>
    </row>
    <row r="212" spans="1:20" s="7" customFormat="1" x14ac:dyDescent="0.2">
      <c r="A212" s="141">
        <f>IF(J212&lt;&gt;"",1+MAX($A$18:A211),"")</f>
        <v>138</v>
      </c>
      <c r="B212" s="49" t="s">
        <v>817</v>
      </c>
      <c r="C212" s="62" t="s">
        <v>817</v>
      </c>
      <c r="D212" s="95" t="s">
        <v>48</v>
      </c>
      <c r="E212" s="182" t="s">
        <v>82</v>
      </c>
      <c r="F212" s="176" t="s">
        <v>824</v>
      </c>
      <c r="G212" s="50">
        <v>24</v>
      </c>
      <c r="H212" s="51">
        <f>IF(VLOOKUP(J212,'HOURLY RATES'!B$116:C$124,2,0)=0,$J$3,VLOOKUP(J212,'HOURLY RATES'!B$116:C$124,2,0))</f>
        <v>0.05</v>
      </c>
      <c r="I212" s="52">
        <f t="shared" si="195"/>
        <v>25.200000000000003</v>
      </c>
      <c r="J212" s="94" t="s">
        <v>225</v>
      </c>
      <c r="K212" s="238">
        <v>8.0000000000000002E-3</v>
      </c>
      <c r="L212" s="59">
        <f t="shared" si="202"/>
        <v>0.20160000000000003</v>
      </c>
      <c r="M212" s="57">
        <f>IF(VLOOKUP(E212,'HOURLY RATES'!C$6:D$105,2,0)=0,$E$3,VLOOKUP(E212,'HOURLY RATES'!C$6:D$105,2,0))</f>
        <v>73.944999999999993</v>
      </c>
      <c r="N212" s="57">
        <f t="shared" si="203"/>
        <v>14.907312000000001</v>
      </c>
      <c r="O212" s="60">
        <v>0.29909999999999998</v>
      </c>
      <c r="P212" s="60">
        <f t="shared" si="198"/>
        <v>7.5373200000000002</v>
      </c>
      <c r="Q212" s="61">
        <f t="shared" si="199"/>
        <v>22.444632000000002</v>
      </c>
      <c r="R212" s="142"/>
      <c r="S212" s="108">
        <f t="shared" si="200"/>
        <v>1.1109414265949997</v>
      </c>
      <c r="T212" s="107">
        <f t="shared" si="201"/>
        <v>27.995723950193995</v>
      </c>
    </row>
    <row r="213" spans="1:20" s="7" customFormat="1" x14ac:dyDescent="0.2">
      <c r="A213" s="141">
        <f>IF(J213&lt;&gt;"",1+MAX($A$18:A212),"")</f>
        <v>139</v>
      </c>
      <c r="B213" s="49" t="s">
        <v>817</v>
      </c>
      <c r="C213" s="62" t="s">
        <v>817</v>
      </c>
      <c r="D213" s="95" t="s">
        <v>48</v>
      </c>
      <c r="E213" s="182" t="s">
        <v>82</v>
      </c>
      <c r="F213" s="176" t="s">
        <v>908</v>
      </c>
      <c r="G213" s="50">
        <v>24</v>
      </c>
      <c r="H213" s="51">
        <f>IF(VLOOKUP(J213,'HOURLY RATES'!B$116:C$124,2,0)=0,$J$3,VLOOKUP(J213,'HOURLY RATES'!B$116:C$124,2,0))</f>
        <v>0.05</v>
      </c>
      <c r="I213" s="52">
        <f t="shared" si="195"/>
        <v>25.200000000000003</v>
      </c>
      <c r="J213" s="94" t="s">
        <v>225</v>
      </c>
      <c r="K213" s="238">
        <f>2*0.01509</f>
        <v>3.0179999999999998E-2</v>
      </c>
      <c r="L213" s="59">
        <f t="shared" ref="L213" si="204">K213*I213</f>
        <v>0.7605360000000001</v>
      </c>
      <c r="M213" s="57">
        <f>IF(VLOOKUP(E213,'HOURLY RATES'!C$6:D$105,2,0)=0,$E$3,VLOOKUP(E213,'HOURLY RATES'!C$6:D$105,2,0))</f>
        <v>73.944999999999993</v>
      </c>
      <c r="N213" s="57">
        <f t="shared" ref="N213" si="205">M213*L213</f>
        <v>56.23783452</v>
      </c>
      <c r="O213" s="60">
        <f>2*1.1661</f>
        <v>2.3321999999999998</v>
      </c>
      <c r="P213" s="60">
        <f t="shared" si="198"/>
        <v>58.771440000000005</v>
      </c>
      <c r="Q213" s="61">
        <f t="shared" ref="Q213" si="206">P213+N213</f>
        <v>115.00927452000001</v>
      </c>
      <c r="R213" s="142"/>
      <c r="S213" s="108">
        <f t="shared" ref="S213" si="207">((((N213*(1+$D$7))+(P213*(1+$D$5+$D$6)))*(1+$D$8)))/I213</f>
        <v>5.7624303552900003</v>
      </c>
      <c r="T213" s="107">
        <f t="shared" ref="T213" si="208">S213*I213</f>
        <v>145.21324495330802</v>
      </c>
    </row>
    <row r="214" spans="1:20" s="7" customFormat="1" x14ac:dyDescent="0.2">
      <c r="A214" s="141">
        <f>IF(J214&lt;&gt;"",1+MAX($A$18:A213),"")</f>
        <v>140</v>
      </c>
      <c r="B214" s="49" t="s">
        <v>817</v>
      </c>
      <c r="C214" s="62" t="s">
        <v>817</v>
      </c>
      <c r="D214" s="95" t="s">
        <v>48</v>
      </c>
      <c r="E214" s="182" t="s">
        <v>82</v>
      </c>
      <c r="F214" s="176" t="s">
        <v>825</v>
      </c>
      <c r="G214" s="50">
        <v>24</v>
      </c>
      <c r="H214" s="51">
        <f>IF(VLOOKUP(J214,'HOURLY RATES'!B$116:C$124,2,0)=0,$J$3,VLOOKUP(J214,'HOURLY RATES'!B$116:C$124,2,0))</f>
        <v>0.05</v>
      </c>
      <c r="I214" s="52">
        <f t="shared" ref="I214" si="209">(G214*(1+H214))</f>
        <v>25.200000000000003</v>
      </c>
      <c r="J214" s="94" t="s">
        <v>225</v>
      </c>
      <c r="K214" s="238">
        <v>0.01</v>
      </c>
      <c r="L214" s="59">
        <f t="shared" si="202"/>
        <v>0.25200000000000006</v>
      </c>
      <c r="M214" s="57">
        <f>IF(VLOOKUP(E214,'HOURLY RATES'!C$6:D$105,2,0)=0,$E$3,VLOOKUP(E214,'HOURLY RATES'!C$6:D$105,2,0))</f>
        <v>73.944999999999993</v>
      </c>
      <c r="N214" s="57">
        <f t="shared" si="203"/>
        <v>18.634140000000002</v>
      </c>
      <c r="O214" s="60">
        <v>0.45629999999999998</v>
      </c>
      <c r="P214" s="60">
        <f t="shared" si="198"/>
        <v>11.498760000000001</v>
      </c>
      <c r="Q214" s="61">
        <f t="shared" si="199"/>
        <v>30.132900000000003</v>
      </c>
      <c r="R214" s="142"/>
      <c r="S214" s="108">
        <f t="shared" si="200"/>
        <v>1.496267821335</v>
      </c>
      <c r="T214" s="107">
        <f t="shared" si="201"/>
        <v>37.705949097642005</v>
      </c>
    </row>
    <row r="215" spans="1:20" s="7" customFormat="1" x14ac:dyDescent="0.2">
      <c r="A215" s="141" t="str">
        <f>IF(J215&lt;&gt;"",1+MAX($A$18:A214),"")</f>
        <v/>
      </c>
      <c r="B215" s="49"/>
      <c r="C215" s="62"/>
      <c r="D215" s="95"/>
      <c r="E215" s="182"/>
      <c r="F215" s="176" t="s">
        <v>223</v>
      </c>
      <c r="G215" s="50"/>
      <c r="H215" s="51"/>
      <c r="I215" s="52"/>
      <c r="J215" s="94"/>
      <c r="K215" s="238"/>
      <c r="L215" s="59"/>
      <c r="M215" s="57"/>
      <c r="N215" s="57"/>
      <c r="O215" s="60"/>
      <c r="P215" s="60"/>
      <c r="Q215" s="61"/>
      <c r="R215" s="142"/>
      <c r="S215" s="108"/>
      <c r="T215" s="107"/>
    </row>
    <row r="216" spans="1:20" s="7" customFormat="1" x14ac:dyDescent="0.2">
      <c r="A216" s="141">
        <f>IF(J216&lt;&gt;"",1+MAX($A$18:A215),"")</f>
        <v>141</v>
      </c>
      <c r="B216" s="49"/>
      <c r="C216" s="62"/>
      <c r="D216" s="95" t="s">
        <v>48</v>
      </c>
      <c r="E216" s="182" t="s">
        <v>82</v>
      </c>
      <c r="F216" s="176" t="s">
        <v>909</v>
      </c>
      <c r="G216" s="50">
        <v>3</v>
      </c>
      <c r="H216" s="51">
        <f>IF(VLOOKUP(J216,'HOURLY RATES'!B$116:C$124,2,0)=0,$J$3,VLOOKUP(J216,'HOURLY RATES'!B$116:C$124,2,0))</f>
        <v>0.05</v>
      </c>
      <c r="I216" s="52">
        <f t="shared" ref="I216" si="210">(G216*(1+H216))</f>
        <v>3.1500000000000004</v>
      </c>
      <c r="J216" s="94" t="s">
        <v>225</v>
      </c>
      <c r="K216" s="238">
        <v>6.2E-2</v>
      </c>
      <c r="L216" s="59">
        <f t="shared" ref="L216:L225" si="211">K216*I216</f>
        <v>0.19530000000000003</v>
      </c>
      <c r="M216" s="57">
        <f>IF(VLOOKUP(E216,'HOURLY RATES'!C$6:D$105,2,0)=0,$E$3,VLOOKUP(E216,'HOURLY RATES'!C$6:D$105,2,0))</f>
        <v>73.944999999999993</v>
      </c>
      <c r="N216" s="57">
        <f t="shared" ref="N216:N225" si="212">M216*L216</f>
        <v>14.441458500000001</v>
      </c>
      <c r="O216" s="60">
        <v>2.65</v>
      </c>
      <c r="P216" s="60">
        <f t="shared" ref="P216:P225" si="213">O216*I216</f>
        <v>8.3475000000000001</v>
      </c>
      <c r="Q216" s="61">
        <f t="shared" ref="Q216" si="214">P216+N216</f>
        <v>22.7889585</v>
      </c>
      <c r="R216" s="142"/>
      <c r="S216" s="108">
        <f t="shared" ref="S216:S225" si="215">((((N216*(1+$D$7))+(P216*(1+$D$5+$D$6)))*(1+$D$8)))/I216</f>
        <v>9.0431298124999984</v>
      </c>
      <c r="T216" s="107">
        <f t="shared" ref="T216:T225" si="216">S216*I216</f>
        <v>28.485858909374997</v>
      </c>
    </row>
    <row r="217" spans="1:20" s="7" customFormat="1" x14ac:dyDescent="0.2">
      <c r="A217" s="141">
        <f>IF(J217&lt;&gt;"",1+MAX($A$18:A216),"")</f>
        <v>142</v>
      </c>
      <c r="B217" s="49"/>
      <c r="C217" s="62"/>
      <c r="D217" s="95" t="s">
        <v>48</v>
      </c>
      <c r="E217" s="182" t="s">
        <v>82</v>
      </c>
      <c r="F217" s="176" t="s">
        <v>857</v>
      </c>
      <c r="G217" s="50">
        <v>5</v>
      </c>
      <c r="H217" s="51">
        <f>IF(VLOOKUP(J217,'HOURLY RATES'!B$116:C$124,2,0)=0,$J$3,VLOOKUP(J217,'HOURLY RATES'!B$116:C$124,2,0))</f>
        <v>0.05</v>
      </c>
      <c r="I217" s="52">
        <f t="shared" ref="I217:I219" si="217">(G217*(1+H217))</f>
        <v>5.25</v>
      </c>
      <c r="J217" s="94" t="s">
        <v>225</v>
      </c>
      <c r="K217" s="238">
        <v>0.1</v>
      </c>
      <c r="L217" s="59">
        <f t="shared" si="211"/>
        <v>0.52500000000000002</v>
      </c>
      <c r="M217" s="57">
        <f>IF(VLOOKUP(E217,'HOURLY RATES'!C$6:D$105,2,0)=0,$E$3,VLOOKUP(E217,'HOURLY RATES'!C$6:D$105,2,0))</f>
        <v>73.944999999999993</v>
      </c>
      <c r="N217" s="57">
        <f t="shared" si="212"/>
        <v>38.821124999999995</v>
      </c>
      <c r="O217" s="60">
        <v>4.0199999999999996</v>
      </c>
      <c r="P217" s="60">
        <f t="shared" si="213"/>
        <v>21.104999999999997</v>
      </c>
      <c r="Q217" s="61">
        <f t="shared" ref="Q217:Q219" si="218">P217+N217</f>
        <v>59.926124999999992</v>
      </c>
      <c r="R217" s="142"/>
      <c r="S217" s="108">
        <f t="shared" si="215"/>
        <v>14.253889208999997</v>
      </c>
      <c r="T217" s="107">
        <f t="shared" si="216"/>
        <v>74.832918347249986</v>
      </c>
    </row>
    <row r="218" spans="1:20" s="7" customFormat="1" x14ac:dyDescent="0.2">
      <c r="A218" s="141">
        <f>IF(J218&lt;&gt;"",1+MAX($A$18:A217),"")</f>
        <v>143</v>
      </c>
      <c r="B218" s="49"/>
      <c r="C218" s="62"/>
      <c r="D218" s="95" t="s">
        <v>48</v>
      </c>
      <c r="E218" s="182" t="s">
        <v>82</v>
      </c>
      <c r="F218" s="176" t="s">
        <v>910</v>
      </c>
      <c r="G218" s="50">
        <v>3</v>
      </c>
      <c r="H218" s="51">
        <f>IF(VLOOKUP(J218,'HOURLY RATES'!B$116:C$124,2,0)=0,$J$3,VLOOKUP(J218,'HOURLY RATES'!B$116:C$124,2,0))</f>
        <v>0.05</v>
      </c>
      <c r="I218" s="52">
        <f t="shared" ref="I218" si="219">(G218*(1+H218))</f>
        <v>3.1500000000000004</v>
      </c>
      <c r="J218" s="94" t="s">
        <v>225</v>
      </c>
      <c r="K218" s="238">
        <v>6.8000000000000005E-2</v>
      </c>
      <c r="L218" s="59">
        <f t="shared" si="211"/>
        <v>0.21420000000000003</v>
      </c>
      <c r="M218" s="57">
        <f>IF(VLOOKUP(E218,'HOURLY RATES'!C$6:D$105,2,0)=0,$E$3,VLOOKUP(E218,'HOURLY RATES'!C$6:D$105,2,0))</f>
        <v>73.944999999999993</v>
      </c>
      <c r="N218" s="57">
        <f t="shared" si="212"/>
        <v>15.839019</v>
      </c>
      <c r="O218" s="60">
        <v>3.33</v>
      </c>
      <c r="P218" s="60">
        <f t="shared" si="213"/>
        <v>10.489500000000001</v>
      </c>
      <c r="Q218" s="61">
        <f t="shared" ref="Q218" si="220">P218+N218</f>
        <v>26.328519</v>
      </c>
      <c r="R218" s="142"/>
      <c r="S218" s="108">
        <f t="shared" si="215"/>
        <v>10.471137778499997</v>
      </c>
      <c r="T218" s="107">
        <f t="shared" si="216"/>
        <v>32.984084002274997</v>
      </c>
    </row>
    <row r="219" spans="1:20" s="7" customFormat="1" x14ac:dyDescent="0.2">
      <c r="A219" s="141">
        <f>IF(J219&lt;&gt;"",1+MAX($A$18:A218),"")</f>
        <v>144</v>
      </c>
      <c r="B219" s="49"/>
      <c r="C219" s="62"/>
      <c r="D219" s="95" t="s">
        <v>48</v>
      </c>
      <c r="E219" s="182" t="s">
        <v>82</v>
      </c>
      <c r="F219" s="176" t="s">
        <v>911</v>
      </c>
      <c r="G219" s="50">
        <v>15</v>
      </c>
      <c r="H219" s="51">
        <f>IF(VLOOKUP(J219,'HOURLY RATES'!B$116:C$124,2,0)=0,$J$3,VLOOKUP(J219,'HOURLY RATES'!B$116:C$124,2,0))</f>
        <v>0.05</v>
      </c>
      <c r="I219" s="52">
        <f t="shared" si="217"/>
        <v>15.75</v>
      </c>
      <c r="J219" s="94" t="s">
        <v>225</v>
      </c>
      <c r="K219" s="238">
        <v>0.06</v>
      </c>
      <c r="L219" s="59">
        <f t="shared" si="211"/>
        <v>0.94499999999999995</v>
      </c>
      <c r="M219" s="57">
        <f>IF(VLOOKUP(E219,'HOURLY RATES'!C$6:D$105,2,0)=0,$E$3,VLOOKUP(E219,'HOURLY RATES'!C$6:D$105,2,0))</f>
        <v>73.944999999999993</v>
      </c>
      <c r="N219" s="57">
        <f t="shared" si="212"/>
        <v>69.878024999999994</v>
      </c>
      <c r="O219" s="60">
        <v>2.44</v>
      </c>
      <c r="P219" s="60">
        <f t="shared" si="213"/>
        <v>38.43</v>
      </c>
      <c r="Q219" s="61">
        <f t="shared" si="218"/>
        <v>108.30802499999999</v>
      </c>
      <c r="R219" s="142"/>
      <c r="S219" s="108">
        <f t="shared" si="215"/>
        <v>8.5888824979999985</v>
      </c>
      <c r="T219" s="107">
        <f t="shared" si="216"/>
        <v>135.27489934349998</v>
      </c>
    </row>
    <row r="220" spans="1:20" s="7" customFormat="1" x14ac:dyDescent="0.2">
      <c r="A220" s="141">
        <f>IF(J220&lt;&gt;"",1+MAX($A$18:A219),"")</f>
        <v>145</v>
      </c>
      <c r="B220" s="49"/>
      <c r="C220" s="62"/>
      <c r="D220" s="95" t="s">
        <v>48</v>
      </c>
      <c r="E220" s="182" t="s">
        <v>82</v>
      </c>
      <c r="F220" s="176" t="s">
        <v>912</v>
      </c>
      <c r="G220" s="50">
        <v>9</v>
      </c>
      <c r="H220" s="51">
        <f>IF(VLOOKUP(J220,'HOURLY RATES'!B$116:C$124,2,0)=0,$J$3,VLOOKUP(J220,'HOURLY RATES'!B$116:C$124,2,0))</f>
        <v>0.05</v>
      </c>
      <c r="I220" s="52">
        <f t="shared" ref="I220" si="221">(G220*(1+H220))</f>
        <v>9.4500000000000011</v>
      </c>
      <c r="J220" s="94" t="s">
        <v>225</v>
      </c>
      <c r="K220" s="238">
        <v>0.06</v>
      </c>
      <c r="L220" s="59">
        <f t="shared" si="211"/>
        <v>0.56700000000000006</v>
      </c>
      <c r="M220" s="57">
        <f>IF(VLOOKUP(E220,'HOURLY RATES'!C$6:D$105,2,0)=0,$E$3,VLOOKUP(E220,'HOURLY RATES'!C$6:D$105,2,0))</f>
        <v>73.944999999999993</v>
      </c>
      <c r="N220" s="57">
        <f t="shared" si="212"/>
        <v>41.926814999999998</v>
      </c>
      <c r="O220" s="60">
        <v>2.56</v>
      </c>
      <c r="P220" s="60">
        <f t="shared" si="213"/>
        <v>24.192000000000004</v>
      </c>
      <c r="Q220" s="61">
        <f t="shared" ref="Q220" si="222">P220+N220</f>
        <v>66.118814999999998</v>
      </c>
      <c r="R220" s="142"/>
      <c r="S220" s="108">
        <f t="shared" si="215"/>
        <v>8.7455209519999979</v>
      </c>
      <c r="T220" s="107">
        <f t="shared" si="216"/>
        <v>82.645172996399992</v>
      </c>
    </row>
    <row r="221" spans="1:20" s="7" customFormat="1" x14ac:dyDescent="0.2">
      <c r="A221" s="141">
        <f>IF(J221&lt;&gt;"",1+MAX($A$18:A220),"")</f>
        <v>146</v>
      </c>
      <c r="B221" s="49"/>
      <c r="C221" s="62"/>
      <c r="D221" s="95" t="s">
        <v>48</v>
      </c>
      <c r="E221" s="182" t="s">
        <v>82</v>
      </c>
      <c r="F221" s="176" t="s">
        <v>913</v>
      </c>
      <c r="G221" s="50">
        <v>25</v>
      </c>
      <c r="H221" s="51">
        <f>IF(VLOOKUP(J221,'HOURLY RATES'!B$116:C$124,2,0)=0,$J$3,VLOOKUP(J221,'HOURLY RATES'!B$116:C$124,2,0))</f>
        <v>0.05</v>
      </c>
      <c r="I221" s="52">
        <f t="shared" ref="I221" si="223">(G221*(1+H221))</f>
        <v>26.25</v>
      </c>
      <c r="J221" s="94" t="s">
        <v>225</v>
      </c>
      <c r="K221" s="238">
        <v>0.08</v>
      </c>
      <c r="L221" s="59">
        <f t="shared" si="211"/>
        <v>2.1</v>
      </c>
      <c r="M221" s="57">
        <f>IF(VLOOKUP(E221,'HOURLY RATES'!C$6:D$105,2,0)=0,$E$3,VLOOKUP(E221,'HOURLY RATES'!C$6:D$105,2,0))</f>
        <v>73.944999999999993</v>
      </c>
      <c r="N221" s="57">
        <f t="shared" si="212"/>
        <v>155.28449999999998</v>
      </c>
      <c r="O221" s="60">
        <v>3</v>
      </c>
      <c r="P221" s="60">
        <f t="shared" si="213"/>
        <v>78.75</v>
      </c>
      <c r="Q221" s="61">
        <f t="shared" ref="Q221" si="224">P221+N221</f>
        <v>234.03449999999998</v>
      </c>
      <c r="R221" s="142"/>
      <c r="S221" s="108">
        <f t="shared" si="215"/>
        <v>11.121162149999996</v>
      </c>
      <c r="T221" s="107">
        <f t="shared" si="216"/>
        <v>291.9305064374999</v>
      </c>
    </row>
    <row r="222" spans="1:20" s="7" customFormat="1" x14ac:dyDescent="0.2">
      <c r="A222" s="141">
        <f>IF(J222&lt;&gt;"",1+MAX($A$18:A221),"")</f>
        <v>147</v>
      </c>
      <c r="B222" s="49"/>
      <c r="C222" s="62"/>
      <c r="D222" s="95" t="s">
        <v>48</v>
      </c>
      <c r="E222" s="182" t="s">
        <v>82</v>
      </c>
      <c r="F222" s="176" t="s">
        <v>914</v>
      </c>
      <c r="G222" s="50">
        <v>30</v>
      </c>
      <c r="H222" s="51">
        <f>IF(VLOOKUP(J222,'HOURLY RATES'!B$116:C$124,2,0)=0,$J$3,VLOOKUP(J222,'HOURLY RATES'!B$116:C$124,2,0))</f>
        <v>0.05</v>
      </c>
      <c r="I222" s="52">
        <f t="shared" ref="I222:I224" si="225">(G222*(1+H222))</f>
        <v>31.5</v>
      </c>
      <c r="J222" s="94" t="s">
        <v>225</v>
      </c>
      <c r="K222" s="238">
        <v>9.0999999999999998E-2</v>
      </c>
      <c r="L222" s="59">
        <f t="shared" si="211"/>
        <v>2.8664999999999998</v>
      </c>
      <c r="M222" s="57">
        <f>IF(VLOOKUP(E222,'HOURLY RATES'!C$6:D$105,2,0)=0,$E$3,VLOOKUP(E222,'HOURLY RATES'!C$6:D$105,2,0))</f>
        <v>73.944999999999993</v>
      </c>
      <c r="N222" s="57">
        <f t="shared" si="212"/>
        <v>211.96334249999995</v>
      </c>
      <c r="O222" s="60">
        <v>0.95</v>
      </c>
      <c r="P222" s="60">
        <f t="shared" si="213"/>
        <v>29.924999999999997</v>
      </c>
      <c r="Q222" s="61">
        <f t="shared" ref="Q222:Q224" si="226">P222+N222</f>
        <v>241.88834249999996</v>
      </c>
      <c r="R222" s="142"/>
      <c r="S222" s="108">
        <f t="shared" si="215"/>
        <v>9.4359703374999953</v>
      </c>
      <c r="T222" s="107">
        <f t="shared" si="216"/>
        <v>297.23306563124987</v>
      </c>
    </row>
    <row r="223" spans="1:20" s="7" customFormat="1" x14ac:dyDescent="0.2">
      <c r="A223" s="141">
        <f>IF(J223&lt;&gt;"",1+MAX($A$18:A222),"")</f>
        <v>148</v>
      </c>
      <c r="B223" s="49"/>
      <c r="C223" s="62"/>
      <c r="D223" s="95" t="s">
        <v>48</v>
      </c>
      <c r="E223" s="182" t="s">
        <v>82</v>
      </c>
      <c r="F223" s="176" t="s">
        <v>834</v>
      </c>
      <c r="G223" s="50">
        <v>105</v>
      </c>
      <c r="H223" s="51">
        <f>IF(VLOOKUP(J223,'HOURLY RATES'!B$116:C$124,2,0)=0,$J$3,VLOOKUP(J223,'HOURLY RATES'!B$116:C$124,2,0))</f>
        <v>0.05</v>
      </c>
      <c r="I223" s="52">
        <f t="shared" ref="I223" si="227">(G223*(1+H223))</f>
        <v>110.25</v>
      </c>
      <c r="J223" s="94" t="s">
        <v>225</v>
      </c>
      <c r="K223" s="238">
        <v>7.0000000000000007E-2</v>
      </c>
      <c r="L223" s="59">
        <f t="shared" si="211"/>
        <v>7.7175000000000011</v>
      </c>
      <c r="M223" s="57">
        <f>IF(VLOOKUP(E223,'HOURLY RATES'!C$6:D$105,2,0)=0,$E$3,VLOOKUP(E223,'HOURLY RATES'!C$6:D$105,2,0))</f>
        <v>73.944999999999993</v>
      </c>
      <c r="N223" s="57">
        <f t="shared" si="212"/>
        <v>570.67053750000002</v>
      </c>
      <c r="O223" s="60">
        <v>3.11</v>
      </c>
      <c r="P223" s="60">
        <f t="shared" si="213"/>
        <v>342.8775</v>
      </c>
      <c r="Q223" s="61">
        <f t="shared" ref="Q223" si="228">P223+N223</f>
        <v>913.54803749999996</v>
      </c>
      <c r="R223" s="142"/>
      <c r="S223" s="108">
        <f t="shared" si="215"/>
        <v>10.364097299499999</v>
      </c>
      <c r="T223" s="107">
        <f t="shared" si="216"/>
        <v>1142.641727269875</v>
      </c>
    </row>
    <row r="224" spans="1:20" s="7" customFormat="1" x14ac:dyDescent="0.2">
      <c r="A224" s="141">
        <f>IF(J224&lt;&gt;"",1+MAX($A$18:A223),"")</f>
        <v>149</v>
      </c>
      <c r="B224" s="49"/>
      <c r="C224" s="62"/>
      <c r="D224" s="95" t="s">
        <v>48</v>
      </c>
      <c r="E224" s="182" t="s">
        <v>82</v>
      </c>
      <c r="F224" s="176" t="s">
        <v>833</v>
      </c>
      <c r="G224" s="50">
        <v>105</v>
      </c>
      <c r="H224" s="51">
        <f>IF(VLOOKUP(J224,'HOURLY RATES'!B$116:C$124,2,0)=0,$J$3,VLOOKUP(J224,'HOURLY RATES'!B$116:C$124,2,0))</f>
        <v>0.05</v>
      </c>
      <c r="I224" s="52">
        <f t="shared" si="225"/>
        <v>110.25</v>
      </c>
      <c r="J224" s="94" t="s">
        <v>225</v>
      </c>
      <c r="K224" s="238">
        <v>0.08</v>
      </c>
      <c r="L224" s="59">
        <f t="shared" si="211"/>
        <v>8.82</v>
      </c>
      <c r="M224" s="57">
        <f>IF(VLOOKUP(E224,'HOURLY RATES'!C$6:D$105,2,0)=0,$E$3,VLOOKUP(E224,'HOURLY RATES'!C$6:D$105,2,0))</f>
        <v>73.944999999999993</v>
      </c>
      <c r="N224" s="57">
        <f t="shared" si="212"/>
        <v>652.19489999999996</v>
      </c>
      <c r="O224" s="60">
        <v>4.83</v>
      </c>
      <c r="P224" s="60">
        <f t="shared" si="213"/>
        <v>532.50750000000005</v>
      </c>
      <c r="Q224" s="61">
        <f t="shared" si="226"/>
        <v>1184.7024000000001</v>
      </c>
      <c r="R224" s="142"/>
      <c r="S224" s="108">
        <f t="shared" si="215"/>
        <v>13.509898573500001</v>
      </c>
      <c r="T224" s="107">
        <f t="shared" si="216"/>
        <v>1489.4663177283751</v>
      </c>
    </row>
    <row r="225" spans="1:23" s="7" customFormat="1" x14ac:dyDescent="0.2">
      <c r="A225" s="141">
        <f>IF(J225&lt;&gt;"",1+MAX($A$18:A224),"")</f>
        <v>150</v>
      </c>
      <c r="B225" s="49"/>
      <c r="C225" s="62"/>
      <c r="D225" s="95" t="s">
        <v>48</v>
      </c>
      <c r="E225" s="182" t="s">
        <v>82</v>
      </c>
      <c r="F225" s="176" t="s">
        <v>734</v>
      </c>
      <c r="G225" s="50">
        <v>3395</v>
      </c>
      <c r="H225" s="51">
        <f>IF(VLOOKUP(J225,'HOURLY RATES'!B$116:C$124,2,0)=0,$J$3,VLOOKUP(J225,'HOURLY RATES'!B$116:C$124,2,0))</f>
        <v>0.05</v>
      </c>
      <c r="I225" s="52">
        <f t="shared" ref="I225:I230" si="229">(G225*(1+H225))</f>
        <v>3564.75</v>
      </c>
      <c r="J225" s="94" t="s">
        <v>225</v>
      </c>
      <c r="K225" s="238">
        <v>6.2E-2</v>
      </c>
      <c r="L225" s="59">
        <f t="shared" si="211"/>
        <v>221.0145</v>
      </c>
      <c r="M225" s="57">
        <f>IF(VLOOKUP(E225,'HOURLY RATES'!C$6:D$105,2,0)=0,$E$3,VLOOKUP(E225,'HOURLY RATES'!C$6:D$105,2,0))</f>
        <v>73.944999999999993</v>
      </c>
      <c r="N225" s="57">
        <f t="shared" si="212"/>
        <v>16342.917202499999</v>
      </c>
      <c r="O225" s="60">
        <v>1.7</v>
      </c>
      <c r="P225" s="60">
        <f t="shared" si="213"/>
        <v>6060.0749999999998</v>
      </c>
      <c r="Q225" s="61">
        <f t="shared" ref="Q225" si="230">P225+N225</f>
        <v>22402.992202499998</v>
      </c>
      <c r="R225" s="142"/>
      <c r="S225" s="108">
        <f t="shared" si="215"/>
        <v>7.8030753849999996</v>
      </c>
      <c r="T225" s="107">
        <f t="shared" si="216"/>
        <v>27816.012978678747</v>
      </c>
    </row>
    <row r="226" spans="1:23" s="7" customFormat="1" ht="17.25" x14ac:dyDescent="0.2">
      <c r="A226" s="141">
        <f>IF(J226&lt;&gt;"",1+MAX($A$18:A225),"")</f>
        <v>151</v>
      </c>
      <c r="B226" s="111"/>
      <c r="C226" s="111"/>
      <c r="D226" s="98"/>
      <c r="E226" s="184"/>
      <c r="F226" s="278" t="s">
        <v>846</v>
      </c>
      <c r="G226" s="96">
        <f>ROUNDUP(G225*8%,0)</f>
        <v>272</v>
      </c>
      <c r="H226" s="51">
        <f>IF(VLOOKUP(J226,'HOURLY RATES'!B$116:C$124,2,0)=0,$J$3,VLOOKUP(J226,'HOURLY RATES'!B$116:C$124,2,0))</f>
        <v>0</v>
      </c>
      <c r="I226" s="52">
        <f t="shared" si="229"/>
        <v>272</v>
      </c>
      <c r="J226" s="94" t="s">
        <v>226</v>
      </c>
      <c r="K226" s="244"/>
      <c r="L226" s="245"/>
      <c r="M226" s="246"/>
      <c r="N226" s="246"/>
      <c r="O226" s="247"/>
      <c r="P226" s="247"/>
      <c r="Q226" s="248"/>
      <c r="R226" s="109"/>
      <c r="S226" s="108"/>
      <c r="T226" s="107"/>
      <c r="W226" s="3"/>
    </row>
    <row r="227" spans="1:23" s="7" customFormat="1" ht="17.25" x14ac:dyDescent="0.2">
      <c r="A227" s="141">
        <f>IF(J227&lt;&gt;"",1+MAX($A$18:A226),"")</f>
        <v>152</v>
      </c>
      <c r="B227" s="111"/>
      <c r="C227" s="111"/>
      <c r="D227" s="98"/>
      <c r="E227" s="184"/>
      <c r="F227" s="117" t="s">
        <v>729</v>
      </c>
      <c r="G227" s="96">
        <f>ROUNDUP(G225/10,0)</f>
        <v>340</v>
      </c>
      <c r="H227" s="51">
        <f>IF(VLOOKUP(J227,'HOURLY RATES'!B$116:C$124,2,0)=0,$J$3,VLOOKUP(J227,'HOURLY RATES'!B$116:C$124,2,0))</f>
        <v>0</v>
      </c>
      <c r="I227" s="52">
        <f t="shared" si="229"/>
        <v>340</v>
      </c>
      <c r="J227" s="94" t="s">
        <v>226</v>
      </c>
      <c r="K227" s="244"/>
      <c r="L227" s="245"/>
      <c r="M227" s="246"/>
      <c r="N227" s="246"/>
      <c r="O227" s="247"/>
      <c r="P227" s="247"/>
      <c r="Q227" s="248"/>
      <c r="R227" s="109"/>
      <c r="S227" s="108"/>
      <c r="T227" s="107"/>
      <c r="W227" s="3"/>
    </row>
    <row r="228" spans="1:23" s="7" customFormat="1" ht="17.25" x14ac:dyDescent="0.2">
      <c r="A228" s="141">
        <f>IF(J228&lt;&gt;"",1+MAX($A$18:A227),"")</f>
        <v>153</v>
      </c>
      <c r="B228" s="111"/>
      <c r="C228" s="111"/>
      <c r="D228" s="98"/>
      <c r="E228" s="184"/>
      <c r="F228" s="117" t="s">
        <v>730</v>
      </c>
      <c r="G228" s="96">
        <f>ROUNDUP(G225/9.2,0)+ROUNDUP(G225*4%,0)</f>
        <v>506</v>
      </c>
      <c r="H228" s="51">
        <f>IF(VLOOKUP(J228,'HOURLY RATES'!B$116:C$124,2,0)=0,$J$3,VLOOKUP(J228,'HOURLY RATES'!B$116:C$124,2,0))</f>
        <v>0</v>
      </c>
      <c r="I228" s="52">
        <f t="shared" si="229"/>
        <v>506</v>
      </c>
      <c r="J228" s="94" t="s">
        <v>226</v>
      </c>
      <c r="K228" s="244"/>
      <c r="L228" s="245"/>
      <c r="M228" s="246"/>
      <c r="N228" s="246"/>
      <c r="O228" s="247"/>
      <c r="P228" s="247"/>
      <c r="Q228" s="248"/>
      <c r="R228" s="109"/>
      <c r="S228" s="108"/>
      <c r="T228" s="107"/>
      <c r="W228" s="3"/>
    </row>
    <row r="229" spans="1:23" s="7" customFormat="1" ht="17.25" x14ac:dyDescent="0.2">
      <c r="A229" s="141">
        <f>IF(J229&lt;&gt;"",1+MAX($A$18:A228),"")</f>
        <v>154</v>
      </c>
      <c r="B229" s="111"/>
      <c r="C229" s="111"/>
      <c r="D229" s="98"/>
      <c r="E229" s="184"/>
      <c r="F229" s="117" t="s">
        <v>731</v>
      </c>
      <c r="G229" s="96">
        <f>ROUNDUP(G225/9.2,0)+ROUNDUP(G225*9%,0)</f>
        <v>676</v>
      </c>
      <c r="H229" s="51">
        <f>IF(VLOOKUP(J229,'HOURLY RATES'!B$116:C$124,2,0)=0,$J$3,VLOOKUP(J229,'HOURLY RATES'!B$116:C$124,2,0))</f>
        <v>0</v>
      </c>
      <c r="I229" s="52">
        <f t="shared" si="229"/>
        <v>676</v>
      </c>
      <c r="J229" s="94" t="s">
        <v>226</v>
      </c>
      <c r="K229" s="244"/>
      <c r="L229" s="245"/>
      <c r="M229" s="246"/>
      <c r="N229" s="246"/>
      <c r="O229" s="247"/>
      <c r="P229" s="247"/>
      <c r="Q229" s="248"/>
      <c r="R229" s="109"/>
      <c r="S229" s="108"/>
      <c r="T229" s="107"/>
      <c r="W229" s="3"/>
    </row>
    <row r="230" spans="1:23" s="7" customFormat="1" ht="17.25" x14ac:dyDescent="0.2">
      <c r="A230" s="141">
        <f>IF(J230&lt;&gt;"",1+MAX($A$18:A229),"")</f>
        <v>155</v>
      </c>
      <c r="B230" s="111"/>
      <c r="C230" s="111"/>
      <c r="D230" s="98"/>
      <c r="E230" s="184"/>
      <c r="F230" s="117" t="s">
        <v>732</v>
      </c>
      <c r="G230" s="96">
        <f>ROUNDUP(G225/9.2,0)+ROUNDUP(G225*9%,0)</f>
        <v>676</v>
      </c>
      <c r="H230" s="51">
        <f>IF(VLOOKUP(J230,'HOURLY RATES'!B$116:C$124,2,0)=0,$J$3,VLOOKUP(J230,'HOURLY RATES'!B$116:C$124,2,0))</f>
        <v>0</v>
      </c>
      <c r="I230" s="52">
        <f t="shared" si="229"/>
        <v>676</v>
      </c>
      <c r="J230" s="94" t="s">
        <v>226</v>
      </c>
      <c r="K230" s="244"/>
      <c r="L230" s="245"/>
      <c r="M230" s="246"/>
      <c r="N230" s="246"/>
      <c r="O230" s="247"/>
      <c r="P230" s="247"/>
      <c r="Q230" s="248"/>
      <c r="R230" s="109"/>
      <c r="S230" s="108"/>
      <c r="T230" s="107"/>
      <c r="W230" s="3"/>
    </row>
    <row r="231" spans="1:23" s="7" customFormat="1" ht="17.25" x14ac:dyDescent="0.2">
      <c r="A231" s="141" t="str">
        <f>IF(J231&lt;&gt;"",1+MAX($A$18:A230),"")</f>
        <v/>
      </c>
      <c r="B231" s="111"/>
      <c r="C231" s="111"/>
      <c r="D231" s="98"/>
      <c r="E231" s="184"/>
      <c r="F231" s="112" t="s">
        <v>223</v>
      </c>
      <c r="G231" s="115"/>
      <c r="H231" s="116"/>
      <c r="I231" s="100"/>
      <c r="J231" s="110"/>
      <c r="K231" s="244"/>
      <c r="L231" s="245"/>
      <c r="M231" s="246"/>
      <c r="N231" s="246"/>
      <c r="O231" s="247"/>
      <c r="P231" s="247"/>
      <c r="Q231" s="248"/>
      <c r="R231" s="109"/>
      <c r="S231" s="108"/>
      <c r="T231" s="107"/>
      <c r="W231" s="3"/>
    </row>
    <row r="232" spans="1:23" s="7" customFormat="1" x14ac:dyDescent="0.2">
      <c r="A232" s="141">
        <f>IF(J232&lt;&gt;"",1+MAX($A$18:A231),"")</f>
        <v>156</v>
      </c>
      <c r="B232" s="111"/>
      <c r="C232" s="111"/>
      <c r="D232" s="95" t="s">
        <v>48</v>
      </c>
      <c r="E232" s="183" t="s">
        <v>82</v>
      </c>
      <c r="F232" s="112" t="s">
        <v>788</v>
      </c>
      <c r="G232" s="115">
        <v>135</v>
      </c>
      <c r="H232" s="51">
        <f>IF(VLOOKUP(J232,'HOURLY RATES'!B$116:C$124,2,0)=0,$J$3,VLOOKUP(J232,'HOURLY RATES'!B$116:C$124,2,0))</f>
        <v>0.05</v>
      </c>
      <c r="I232" s="52">
        <f t="shared" ref="I232:I237" si="231">(G232*(1+H232))</f>
        <v>141.75</v>
      </c>
      <c r="J232" s="94" t="s">
        <v>225</v>
      </c>
      <c r="K232" s="238">
        <v>4.2000000000000003E-2</v>
      </c>
      <c r="L232" s="59">
        <f>K232*I232</f>
        <v>5.9535</v>
      </c>
      <c r="M232" s="57">
        <f>IF(VLOOKUP(E232,'HOURLY RATES'!C$6:D$105,2,0)=0,$E$3,VLOOKUP(E232,'HOURLY RATES'!C$6:D$105,2,0))</f>
        <v>73.944999999999993</v>
      </c>
      <c r="N232" s="57">
        <f>M232*L232</f>
        <v>440.23155749999995</v>
      </c>
      <c r="O232" s="60">
        <v>1.1000000000000001</v>
      </c>
      <c r="P232" s="242">
        <f>O232*I232</f>
        <v>155.92500000000001</v>
      </c>
      <c r="Q232" s="61">
        <f t="shared" ref="Q232" si="232">P232+N232</f>
        <v>596.15655749999996</v>
      </c>
      <c r="R232" s="142"/>
      <c r="S232" s="108">
        <f>((((N232*(1+$D$7))+(P232*(1+$D$5+$D$6)))*(1+$D$8)))/I232</f>
        <v>5.2185829149999989</v>
      </c>
      <c r="T232" s="107">
        <f>S232*I232</f>
        <v>739.73412820124986</v>
      </c>
      <c r="W232" s="3"/>
    </row>
    <row r="233" spans="1:23" s="7" customFormat="1" ht="17.25" x14ac:dyDescent="0.2">
      <c r="A233" s="141">
        <f>IF(J233&lt;&gt;"",1+MAX($A$18:A232),"")</f>
        <v>157</v>
      </c>
      <c r="B233" s="111"/>
      <c r="C233" s="111"/>
      <c r="D233" s="98"/>
      <c r="E233" s="184"/>
      <c r="F233" s="278" t="s">
        <v>849</v>
      </c>
      <c r="G233" s="96">
        <f>ROUNDUP(G232*8%,0)</f>
        <v>11</v>
      </c>
      <c r="H233" s="51">
        <f>IF(VLOOKUP(J233,'HOURLY RATES'!B$116:C$124,2,0)=0,$J$3,VLOOKUP(J233,'HOURLY RATES'!B$116:C$124,2,0))</f>
        <v>0</v>
      </c>
      <c r="I233" s="52">
        <f t="shared" si="231"/>
        <v>11</v>
      </c>
      <c r="J233" s="94" t="s">
        <v>226</v>
      </c>
      <c r="K233" s="244"/>
      <c r="L233" s="245"/>
      <c r="M233" s="246"/>
      <c r="N233" s="246"/>
      <c r="O233" s="247"/>
      <c r="P233" s="247"/>
      <c r="Q233" s="248"/>
      <c r="R233" s="109"/>
      <c r="S233" s="108"/>
      <c r="T233" s="107"/>
      <c r="W233" s="3"/>
    </row>
    <row r="234" spans="1:23" s="7" customFormat="1" ht="17.25" x14ac:dyDescent="0.2">
      <c r="A234" s="141">
        <f>IF(J234&lt;&gt;"",1+MAX($A$18:A233),"")</f>
        <v>158</v>
      </c>
      <c r="B234" s="111"/>
      <c r="C234" s="111"/>
      <c r="D234" s="98"/>
      <c r="E234" s="184"/>
      <c r="F234" s="117" t="s">
        <v>789</v>
      </c>
      <c r="G234" s="96">
        <f>ROUNDUP(G232/10,0)</f>
        <v>14</v>
      </c>
      <c r="H234" s="51">
        <f>IF(VLOOKUP(J234,'HOURLY RATES'!B$116:C$124,2,0)=0,$J$3,VLOOKUP(J234,'HOURLY RATES'!B$116:C$124,2,0))</f>
        <v>0</v>
      </c>
      <c r="I234" s="52">
        <f t="shared" si="231"/>
        <v>14</v>
      </c>
      <c r="J234" s="94" t="s">
        <v>226</v>
      </c>
      <c r="K234" s="244"/>
      <c r="L234" s="245"/>
      <c r="M234" s="246"/>
      <c r="N234" s="246"/>
      <c r="O234" s="247"/>
      <c r="P234" s="247"/>
      <c r="Q234" s="248"/>
      <c r="R234" s="109"/>
      <c r="S234" s="108"/>
      <c r="T234" s="107"/>
      <c r="W234" s="3"/>
    </row>
    <row r="235" spans="1:23" s="7" customFormat="1" ht="17.25" x14ac:dyDescent="0.2">
      <c r="A235" s="141">
        <f>IF(J235&lt;&gt;"",1+MAX($A$18:A234),"")</f>
        <v>159</v>
      </c>
      <c r="B235" s="111"/>
      <c r="C235" s="111"/>
      <c r="D235" s="98"/>
      <c r="E235" s="184"/>
      <c r="F235" s="117" t="s">
        <v>790</v>
      </c>
      <c r="G235" s="96">
        <f>ROUNDUP(G232/9.2,0)+ROUNDUP(G232*4%,0)</f>
        <v>21</v>
      </c>
      <c r="H235" s="51">
        <f>IF(VLOOKUP(J235,'HOURLY RATES'!B$116:C$124,2,0)=0,$J$3,VLOOKUP(J235,'HOURLY RATES'!B$116:C$124,2,0))</f>
        <v>0</v>
      </c>
      <c r="I235" s="52">
        <f t="shared" si="231"/>
        <v>21</v>
      </c>
      <c r="J235" s="94" t="s">
        <v>226</v>
      </c>
      <c r="K235" s="244"/>
      <c r="L235" s="245"/>
      <c r="M235" s="246"/>
      <c r="N235" s="246"/>
      <c r="O235" s="247"/>
      <c r="P235" s="247"/>
      <c r="Q235" s="248"/>
      <c r="R235" s="109"/>
      <c r="S235" s="108"/>
      <c r="T235" s="107"/>
      <c r="W235" s="3"/>
    </row>
    <row r="236" spans="1:23" s="7" customFormat="1" ht="17.25" x14ac:dyDescent="0.2">
      <c r="A236" s="141">
        <f>IF(J236&lt;&gt;"",1+MAX($A$18:A235),"")</f>
        <v>160</v>
      </c>
      <c r="B236" s="111"/>
      <c r="C236" s="111"/>
      <c r="D236" s="98"/>
      <c r="E236" s="184"/>
      <c r="F236" s="117" t="s">
        <v>731</v>
      </c>
      <c r="G236" s="96">
        <f>ROUNDUP(G232/9.2,0)+ROUNDUP(G232*9%,0)</f>
        <v>28</v>
      </c>
      <c r="H236" s="51">
        <f>IF(VLOOKUP(J236,'HOURLY RATES'!B$116:C$124,2,0)=0,$J$3,VLOOKUP(J236,'HOURLY RATES'!B$116:C$124,2,0))</f>
        <v>0</v>
      </c>
      <c r="I236" s="52">
        <f t="shared" si="231"/>
        <v>28</v>
      </c>
      <c r="J236" s="94" t="s">
        <v>226</v>
      </c>
      <c r="K236" s="244"/>
      <c r="L236" s="245"/>
      <c r="M236" s="246"/>
      <c r="N236" s="246"/>
      <c r="O236" s="247"/>
      <c r="P236" s="247"/>
      <c r="Q236" s="248"/>
      <c r="R236" s="109"/>
      <c r="S236" s="108"/>
      <c r="T236" s="107"/>
      <c r="W236" s="3"/>
    </row>
    <row r="237" spans="1:23" s="7" customFormat="1" ht="17.25" x14ac:dyDescent="0.2">
      <c r="A237" s="141">
        <f>IF(J237&lt;&gt;"",1+MAX($A$18:A236),"")</f>
        <v>161</v>
      </c>
      <c r="B237" s="111"/>
      <c r="C237" s="111"/>
      <c r="D237" s="98"/>
      <c r="E237" s="184"/>
      <c r="F237" s="117" t="s">
        <v>732</v>
      </c>
      <c r="G237" s="96">
        <f>ROUNDUP(G232/9.2,0)+ROUNDUP(G232*9%,0)</f>
        <v>28</v>
      </c>
      <c r="H237" s="51">
        <f>IF(VLOOKUP(J237,'HOURLY RATES'!B$116:C$124,2,0)=0,$J$3,VLOOKUP(J237,'HOURLY RATES'!B$116:C$124,2,0))</f>
        <v>0</v>
      </c>
      <c r="I237" s="52">
        <f t="shared" si="231"/>
        <v>28</v>
      </c>
      <c r="J237" s="94" t="s">
        <v>226</v>
      </c>
      <c r="K237" s="244"/>
      <c r="L237" s="245"/>
      <c r="M237" s="246"/>
      <c r="N237" s="246"/>
      <c r="O237" s="247"/>
      <c r="P237" s="247"/>
      <c r="Q237" s="248"/>
      <c r="R237" s="109"/>
      <c r="S237" s="108"/>
      <c r="T237" s="107"/>
      <c r="W237" s="3"/>
    </row>
    <row r="238" spans="1:23" s="7" customFormat="1" ht="17.25" x14ac:dyDescent="0.2">
      <c r="A238" s="141" t="str">
        <f>IF(J238&lt;&gt;"",1+MAX($A$18:A237),"")</f>
        <v/>
      </c>
      <c r="B238" s="111"/>
      <c r="C238" s="111"/>
      <c r="D238" s="98"/>
      <c r="E238" s="184"/>
      <c r="F238" s="112" t="s">
        <v>223</v>
      </c>
      <c r="G238" s="115"/>
      <c r="H238" s="116"/>
      <c r="I238" s="100"/>
      <c r="J238" s="110"/>
      <c r="K238" s="244"/>
      <c r="L238" s="245"/>
      <c r="M238" s="246"/>
      <c r="N238" s="246"/>
      <c r="O238" s="247"/>
      <c r="P238" s="247"/>
      <c r="Q238" s="248"/>
      <c r="R238" s="109"/>
      <c r="S238" s="108"/>
      <c r="T238" s="107"/>
      <c r="W238" s="3"/>
    </row>
    <row r="239" spans="1:23" s="7" customFormat="1" x14ac:dyDescent="0.2">
      <c r="A239" s="141">
        <f>IF(J239&lt;&gt;"",1+MAX($A$18:A238),"")</f>
        <v>162</v>
      </c>
      <c r="B239" s="111"/>
      <c r="C239" s="111"/>
      <c r="D239" s="95" t="s">
        <v>48</v>
      </c>
      <c r="E239" s="183" t="s">
        <v>82</v>
      </c>
      <c r="F239" s="112" t="s">
        <v>791</v>
      </c>
      <c r="G239" s="115">
        <v>24</v>
      </c>
      <c r="H239" s="51">
        <f>IF(VLOOKUP(J239,'HOURLY RATES'!B$116:C$124,2,0)=0,$J$3,VLOOKUP(J239,'HOURLY RATES'!B$116:C$124,2,0))</f>
        <v>0.05</v>
      </c>
      <c r="I239" s="52">
        <f t="shared" ref="I239:I244" si="233">(G239*(1+H239))</f>
        <v>25.200000000000003</v>
      </c>
      <c r="J239" s="94" t="s">
        <v>225</v>
      </c>
      <c r="K239" s="238">
        <v>7.0000000000000007E-2</v>
      </c>
      <c r="L239" s="59">
        <f>K239*I239</f>
        <v>1.7640000000000005</v>
      </c>
      <c r="M239" s="57">
        <f>IF(VLOOKUP(E239,'HOURLY RATES'!C$6:D$105,2,0)=0,$E$3,VLOOKUP(E239,'HOURLY RATES'!C$6:D$105,2,0))</f>
        <v>73.944999999999993</v>
      </c>
      <c r="N239" s="57">
        <f>M239*L239</f>
        <v>130.43898000000002</v>
      </c>
      <c r="O239" s="60">
        <v>3.11</v>
      </c>
      <c r="P239" s="242">
        <f>O239*I239</f>
        <v>78.372</v>
      </c>
      <c r="Q239" s="61">
        <f t="shared" ref="Q239" si="234">P239+N239</f>
        <v>208.81098000000003</v>
      </c>
      <c r="R239" s="142"/>
      <c r="S239" s="108">
        <f>((((N239*(1+$D$7))+(P239*(1+$D$5+$D$6)))*(1+$D$8)))/I239</f>
        <v>10.364097299499999</v>
      </c>
      <c r="T239" s="107">
        <f>S239*I239</f>
        <v>261.1752519474</v>
      </c>
      <c r="W239" s="3"/>
    </row>
    <row r="240" spans="1:23" s="7" customFormat="1" ht="17.25" x14ac:dyDescent="0.2">
      <c r="A240" s="141">
        <f>IF(J240&lt;&gt;"",1+MAX($A$18:A239),"")</f>
        <v>163</v>
      </c>
      <c r="B240" s="111"/>
      <c r="C240" s="111"/>
      <c r="D240" s="98"/>
      <c r="E240" s="184"/>
      <c r="F240" s="278" t="s">
        <v>847</v>
      </c>
      <c r="G240" s="96">
        <f>ROUNDUP(G239*8%,0)</f>
        <v>2</v>
      </c>
      <c r="H240" s="51">
        <f>IF(VLOOKUP(J240,'HOURLY RATES'!B$116:C$124,2,0)=0,$J$3,VLOOKUP(J240,'HOURLY RATES'!B$116:C$124,2,0))</f>
        <v>0</v>
      </c>
      <c r="I240" s="52">
        <f t="shared" si="233"/>
        <v>2</v>
      </c>
      <c r="J240" s="94" t="s">
        <v>226</v>
      </c>
      <c r="K240" s="244"/>
      <c r="L240" s="245"/>
      <c r="M240" s="246"/>
      <c r="N240" s="246"/>
      <c r="O240" s="247"/>
      <c r="P240" s="247"/>
      <c r="Q240" s="248"/>
      <c r="R240" s="109"/>
      <c r="S240" s="108"/>
      <c r="T240" s="107"/>
      <c r="W240" s="3"/>
    </row>
    <row r="241" spans="1:23" s="7" customFormat="1" ht="17.25" x14ac:dyDescent="0.2">
      <c r="A241" s="141">
        <f>IF(J241&lt;&gt;"",1+MAX($A$18:A240),"")</f>
        <v>164</v>
      </c>
      <c r="B241" s="111"/>
      <c r="C241" s="111"/>
      <c r="D241" s="98"/>
      <c r="E241" s="184"/>
      <c r="F241" s="117" t="s">
        <v>761</v>
      </c>
      <c r="G241" s="96">
        <f>ROUNDUP(G239/10,0)</f>
        <v>3</v>
      </c>
      <c r="H241" s="51">
        <f>IF(VLOOKUP(J241,'HOURLY RATES'!B$116:C$124,2,0)=0,$J$3,VLOOKUP(J241,'HOURLY RATES'!B$116:C$124,2,0))</f>
        <v>0</v>
      </c>
      <c r="I241" s="52">
        <f t="shared" si="233"/>
        <v>3</v>
      </c>
      <c r="J241" s="94" t="s">
        <v>226</v>
      </c>
      <c r="K241" s="244"/>
      <c r="L241" s="245"/>
      <c r="M241" s="246"/>
      <c r="N241" s="246"/>
      <c r="O241" s="247"/>
      <c r="P241" s="247"/>
      <c r="Q241" s="248"/>
      <c r="R241" s="109"/>
      <c r="S241" s="108"/>
      <c r="T241" s="107"/>
      <c r="W241" s="3"/>
    </row>
    <row r="242" spans="1:23" s="7" customFormat="1" ht="17.25" x14ac:dyDescent="0.2">
      <c r="A242" s="141">
        <f>IF(J242&lt;&gt;"",1+MAX($A$18:A241),"")</f>
        <v>165</v>
      </c>
      <c r="B242" s="111"/>
      <c r="C242" s="111"/>
      <c r="D242" s="98"/>
      <c r="E242" s="184"/>
      <c r="F242" s="117" t="s">
        <v>762</v>
      </c>
      <c r="G242" s="96">
        <f>ROUNDUP(G239/9.2,0)+ROUNDUP(G239*4%,0)</f>
        <v>4</v>
      </c>
      <c r="H242" s="51">
        <f>IF(VLOOKUP(J242,'HOURLY RATES'!B$116:C$124,2,0)=0,$J$3,VLOOKUP(J242,'HOURLY RATES'!B$116:C$124,2,0))</f>
        <v>0</v>
      </c>
      <c r="I242" s="52">
        <f t="shared" si="233"/>
        <v>4</v>
      </c>
      <c r="J242" s="94" t="s">
        <v>226</v>
      </c>
      <c r="K242" s="244"/>
      <c r="L242" s="245"/>
      <c r="M242" s="246"/>
      <c r="N242" s="246"/>
      <c r="O242" s="247"/>
      <c r="P242" s="247"/>
      <c r="Q242" s="248"/>
      <c r="R242" s="109"/>
      <c r="S242" s="108"/>
      <c r="T242" s="107"/>
      <c r="W242" s="3"/>
    </row>
    <row r="243" spans="1:23" s="7" customFormat="1" ht="17.25" x14ac:dyDescent="0.2">
      <c r="A243" s="141">
        <f>IF(J243&lt;&gt;"",1+MAX($A$18:A242),"")</f>
        <v>166</v>
      </c>
      <c r="B243" s="111"/>
      <c r="C243" s="111"/>
      <c r="D243" s="98"/>
      <c r="E243" s="184"/>
      <c r="F243" s="117" t="s">
        <v>731</v>
      </c>
      <c r="G243" s="96">
        <f>ROUNDUP(G239/9.2,0)+ROUNDUP(G239*9%,0)</f>
        <v>6</v>
      </c>
      <c r="H243" s="51">
        <f>IF(VLOOKUP(J243,'HOURLY RATES'!B$116:C$124,2,0)=0,$J$3,VLOOKUP(J243,'HOURLY RATES'!B$116:C$124,2,0))</f>
        <v>0</v>
      </c>
      <c r="I243" s="52">
        <f t="shared" si="233"/>
        <v>6</v>
      </c>
      <c r="J243" s="94" t="s">
        <v>226</v>
      </c>
      <c r="K243" s="244"/>
      <c r="L243" s="245"/>
      <c r="M243" s="246"/>
      <c r="N243" s="246"/>
      <c r="O243" s="247"/>
      <c r="P243" s="247"/>
      <c r="Q243" s="248"/>
      <c r="R243" s="109"/>
      <c r="S243" s="108"/>
      <c r="T243" s="107"/>
      <c r="W243" s="3"/>
    </row>
    <row r="244" spans="1:23" s="7" customFormat="1" ht="17.25" x14ac:dyDescent="0.2">
      <c r="A244" s="141">
        <f>IF(J244&lt;&gt;"",1+MAX($A$18:A243),"")</f>
        <v>167</v>
      </c>
      <c r="B244" s="111"/>
      <c r="C244" s="111"/>
      <c r="D244" s="98"/>
      <c r="E244" s="184"/>
      <c r="F244" s="117" t="s">
        <v>732</v>
      </c>
      <c r="G244" s="96">
        <f>ROUNDUP(G239/9.2,0)+ROUNDUP(G239*9%,0)</f>
        <v>6</v>
      </c>
      <c r="H244" s="51">
        <f>IF(VLOOKUP(J244,'HOURLY RATES'!B$116:C$124,2,0)=0,$J$3,VLOOKUP(J244,'HOURLY RATES'!B$116:C$124,2,0))</f>
        <v>0</v>
      </c>
      <c r="I244" s="52">
        <f t="shared" si="233"/>
        <v>6</v>
      </c>
      <c r="J244" s="94" t="s">
        <v>226</v>
      </c>
      <c r="K244" s="244"/>
      <c r="L244" s="245"/>
      <c r="M244" s="246"/>
      <c r="N244" s="246"/>
      <c r="O244" s="247"/>
      <c r="P244" s="247"/>
      <c r="Q244" s="248"/>
      <c r="R244" s="109"/>
      <c r="S244" s="108"/>
      <c r="T244" s="107"/>
      <c r="W244" s="3"/>
    </row>
    <row r="245" spans="1:23" s="7" customFormat="1" x14ac:dyDescent="0.2">
      <c r="A245" s="141" t="str">
        <f>IF(J245&lt;&gt;"",1+MAX($A$18:A244),"")</f>
        <v/>
      </c>
      <c r="B245" s="49"/>
      <c r="C245" s="62"/>
      <c r="D245" s="95"/>
      <c r="E245" s="182"/>
      <c r="F245" s="176" t="s">
        <v>223</v>
      </c>
      <c r="G245" s="50"/>
      <c r="H245" s="51"/>
      <c r="I245" s="52"/>
      <c r="J245" s="94"/>
      <c r="K245" s="238"/>
      <c r="L245" s="59"/>
      <c r="M245" s="57"/>
      <c r="N245" s="57"/>
      <c r="O245" s="60"/>
      <c r="P245" s="60"/>
      <c r="Q245" s="61"/>
      <c r="R245" s="142"/>
      <c r="S245" s="108"/>
      <c r="T245" s="107"/>
    </row>
    <row r="246" spans="1:23" s="7" customFormat="1" x14ac:dyDescent="0.2">
      <c r="A246" s="256" t="str">
        <f>IF(J246&lt;&gt;"",1+MAX($A$18:A245),"")</f>
        <v/>
      </c>
      <c r="B246" s="256"/>
      <c r="C246" s="256"/>
      <c r="D246" s="256" t="s">
        <v>50</v>
      </c>
      <c r="E246" s="257"/>
      <c r="F246" s="258" t="s">
        <v>72</v>
      </c>
      <c r="G246" s="259"/>
      <c r="H246" s="258"/>
      <c r="I246" s="260"/>
      <c r="J246" s="260"/>
      <c r="K246" s="258"/>
      <c r="L246" s="258"/>
      <c r="M246" s="258"/>
      <c r="N246" s="258"/>
      <c r="O246" s="258"/>
      <c r="P246" s="258"/>
      <c r="Q246" s="258"/>
      <c r="R246" s="261">
        <f>SUM(Q247:Q271)</f>
        <v>4332.9927907499996</v>
      </c>
      <c r="S246" s="108"/>
      <c r="T246" s="107"/>
    </row>
    <row r="247" spans="1:23" s="7" customFormat="1" x14ac:dyDescent="0.2">
      <c r="A247" s="141" t="str">
        <f>IF(J247&lt;&gt;"",1+MAX($A$18:A246),"")</f>
        <v/>
      </c>
      <c r="B247" s="97"/>
      <c r="C247" s="101"/>
      <c r="D247" s="95"/>
      <c r="E247" s="183"/>
      <c r="F247" s="120" t="s">
        <v>223</v>
      </c>
      <c r="G247" s="96"/>
      <c r="H247" s="99"/>
      <c r="I247" s="100"/>
      <c r="J247" s="94"/>
      <c r="K247" s="239"/>
      <c r="L247" s="240"/>
      <c r="M247" s="241"/>
      <c r="N247" s="241"/>
      <c r="O247" s="242"/>
      <c r="P247" s="242"/>
      <c r="Q247" s="243"/>
      <c r="R247" s="109"/>
      <c r="S247" s="108"/>
      <c r="T247" s="107"/>
    </row>
    <row r="248" spans="1:23" s="7" customFormat="1" x14ac:dyDescent="0.2">
      <c r="A248" s="141" t="str">
        <f>IF(J248&lt;&gt;"",1+MAX($A$18:A247),"")</f>
        <v/>
      </c>
      <c r="B248" s="97"/>
      <c r="C248" s="101"/>
      <c r="D248" s="95"/>
      <c r="E248" s="183"/>
      <c r="F248" s="119" t="s">
        <v>763</v>
      </c>
      <c r="G248" s="96"/>
      <c r="H248" s="99"/>
      <c r="I248" s="100"/>
      <c r="J248" s="94"/>
      <c r="K248" s="239"/>
      <c r="L248" s="240"/>
      <c r="M248" s="241"/>
      <c r="N248" s="241"/>
      <c r="O248" s="242"/>
      <c r="P248" s="242"/>
      <c r="Q248" s="243"/>
      <c r="R248" s="109"/>
      <c r="S248" s="108"/>
      <c r="T248" s="107"/>
    </row>
    <row r="249" spans="1:23" s="7" customFormat="1" x14ac:dyDescent="0.2">
      <c r="A249" s="141">
        <f>IF(J249&lt;&gt;"",1+MAX($A$18:A248),"")</f>
        <v>168</v>
      </c>
      <c r="B249" s="97" t="s">
        <v>817</v>
      </c>
      <c r="C249" s="97" t="s">
        <v>817</v>
      </c>
      <c r="D249" s="95" t="s">
        <v>50</v>
      </c>
      <c r="E249" s="183" t="s">
        <v>72</v>
      </c>
      <c r="F249" s="112" t="s">
        <v>792</v>
      </c>
      <c r="G249" s="115">
        <v>16</v>
      </c>
      <c r="H249" s="51">
        <f>IF(VLOOKUP(J249,'HOURLY RATES'!B$116:C$124,2,0)=0,$J$3,VLOOKUP(J249,'HOURLY RATES'!B$116:C$124,2,0))</f>
        <v>0</v>
      </c>
      <c r="I249" s="52">
        <f t="shared" ref="I249:I252" si="235">(G249*(1+H249))</f>
        <v>16</v>
      </c>
      <c r="J249" s="94" t="s">
        <v>226</v>
      </c>
      <c r="K249" s="238">
        <v>0.35</v>
      </c>
      <c r="L249" s="59">
        <f t="shared" ref="L249:L254" si="236">K249*I249</f>
        <v>5.6</v>
      </c>
      <c r="M249" s="57">
        <f>IF(VLOOKUP(E249,'HOURLY RATES'!C$6:D$105,2,0)=0,$E$3,VLOOKUP(E249,'HOURLY RATES'!C$6:D$105,2,0))</f>
        <v>73.944999999999993</v>
      </c>
      <c r="N249" s="57">
        <f t="shared" ref="N249:N254" si="237">M249*L249</f>
        <v>414.09199999999993</v>
      </c>
      <c r="O249" s="60">
        <v>4.5</v>
      </c>
      <c r="P249" s="242">
        <f t="shared" ref="P249:P254" si="238">O249*I249</f>
        <v>72</v>
      </c>
      <c r="Q249" s="61">
        <f t="shared" ref="Q249:Q254" si="239">P249+N249</f>
        <v>486.09199999999993</v>
      </c>
      <c r="R249" s="142"/>
      <c r="S249" s="108">
        <f t="shared" ref="S249:S254" si="240">((((N249*(1+$D$7))+(P249*(1+$D$5+$D$6)))*(1+$D$8)))/I249</f>
        <v>37.396695524999984</v>
      </c>
      <c r="T249" s="107">
        <f t="shared" ref="T249:T254" si="241">S249*I249</f>
        <v>598.34712839999975</v>
      </c>
    </row>
    <row r="250" spans="1:23" s="7" customFormat="1" x14ac:dyDescent="0.2">
      <c r="A250" s="141">
        <f>IF(J250&lt;&gt;"",1+MAX($A$18:A249),"")</f>
        <v>169</v>
      </c>
      <c r="B250" s="97" t="s">
        <v>817</v>
      </c>
      <c r="C250" s="97" t="s">
        <v>817</v>
      </c>
      <c r="D250" s="95" t="s">
        <v>50</v>
      </c>
      <c r="E250" s="183" t="s">
        <v>72</v>
      </c>
      <c r="F250" s="112" t="s">
        <v>915</v>
      </c>
      <c r="G250" s="115">
        <v>1</v>
      </c>
      <c r="H250" s="51">
        <f>IF(VLOOKUP(J250,'HOURLY RATES'!B$116:C$124,2,0)=0,$J$3,VLOOKUP(J250,'HOURLY RATES'!B$116:C$124,2,0))</f>
        <v>0</v>
      </c>
      <c r="I250" s="52">
        <f t="shared" si="235"/>
        <v>1</v>
      </c>
      <c r="J250" s="94" t="s">
        <v>226</v>
      </c>
      <c r="K250" s="238">
        <v>2</v>
      </c>
      <c r="L250" s="59">
        <f t="shared" si="236"/>
        <v>2</v>
      </c>
      <c r="M250" s="57">
        <f>IF(VLOOKUP(E250,'HOURLY RATES'!C$6:D$105,2,0)=0,$E$3,VLOOKUP(E250,'HOURLY RATES'!C$6:D$105,2,0))</f>
        <v>73.944999999999993</v>
      </c>
      <c r="N250" s="57">
        <f t="shared" si="237"/>
        <v>147.88999999999999</v>
      </c>
      <c r="O250" s="60">
        <v>0</v>
      </c>
      <c r="P250" s="242">
        <f t="shared" si="238"/>
        <v>0</v>
      </c>
      <c r="Q250" s="61">
        <f t="shared" si="239"/>
        <v>147.88999999999999</v>
      </c>
      <c r="R250" s="142"/>
      <c r="S250" s="108">
        <f t="shared" si="240"/>
        <v>180.13001999999997</v>
      </c>
      <c r="T250" s="107">
        <f t="shared" si="241"/>
        <v>180.13001999999997</v>
      </c>
    </row>
    <row r="251" spans="1:23" s="7" customFormat="1" x14ac:dyDescent="0.2">
      <c r="A251" s="141">
        <f>IF(J251&lt;&gt;"",1+MAX($A$18:A250),"")</f>
        <v>170</v>
      </c>
      <c r="B251" s="97" t="s">
        <v>817</v>
      </c>
      <c r="C251" s="97" t="s">
        <v>817</v>
      </c>
      <c r="D251" s="95" t="s">
        <v>50</v>
      </c>
      <c r="E251" s="183" t="s">
        <v>72</v>
      </c>
      <c r="F251" s="112" t="s">
        <v>793</v>
      </c>
      <c r="G251" s="115">
        <v>12</v>
      </c>
      <c r="H251" s="51">
        <f>IF(VLOOKUP(J251,'HOURLY RATES'!B$116:C$124,2,0)=0,$J$3,VLOOKUP(J251,'HOURLY RATES'!B$116:C$124,2,0))</f>
        <v>0</v>
      </c>
      <c r="I251" s="52">
        <f t="shared" si="235"/>
        <v>12</v>
      </c>
      <c r="J251" s="94" t="s">
        <v>226</v>
      </c>
      <c r="K251" s="238">
        <v>0.12</v>
      </c>
      <c r="L251" s="59">
        <f t="shared" si="236"/>
        <v>1.44</v>
      </c>
      <c r="M251" s="57">
        <f>IF(VLOOKUP(E251,'HOURLY RATES'!C$6:D$105,2,0)=0,$E$3,VLOOKUP(E251,'HOURLY RATES'!C$6:D$105,2,0))</f>
        <v>73.944999999999993</v>
      </c>
      <c r="N251" s="57">
        <f t="shared" si="237"/>
        <v>106.48079999999999</v>
      </c>
      <c r="O251" s="60">
        <v>1.2000000000000002</v>
      </c>
      <c r="P251" s="242">
        <f t="shared" si="238"/>
        <v>14.400000000000002</v>
      </c>
      <c r="Q251" s="61">
        <f t="shared" si="239"/>
        <v>120.88079999999999</v>
      </c>
      <c r="R251" s="142"/>
      <c r="S251" s="108">
        <f t="shared" si="240"/>
        <v>12.374185739999996</v>
      </c>
      <c r="T251" s="107">
        <f t="shared" si="241"/>
        <v>148.49022887999996</v>
      </c>
    </row>
    <row r="252" spans="1:23" s="7" customFormat="1" x14ac:dyDescent="0.2">
      <c r="A252" s="141">
        <f>IF(J252&lt;&gt;"",1+MAX($A$18:A251),"")</f>
        <v>171</v>
      </c>
      <c r="B252" s="97" t="s">
        <v>817</v>
      </c>
      <c r="C252" s="97" t="s">
        <v>817</v>
      </c>
      <c r="D252" s="95" t="s">
        <v>50</v>
      </c>
      <c r="E252" s="183" t="s">
        <v>72</v>
      </c>
      <c r="F252" s="112" t="s">
        <v>794</v>
      </c>
      <c r="G252" s="115">
        <v>2</v>
      </c>
      <c r="H252" s="51">
        <f>IF(VLOOKUP(J252,'HOURLY RATES'!B$116:C$124,2,0)=0,$J$3,VLOOKUP(J252,'HOURLY RATES'!B$116:C$124,2,0))</f>
        <v>0</v>
      </c>
      <c r="I252" s="52">
        <f t="shared" si="235"/>
        <v>2</v>
      </c>
      <c r="J252" s="94" t="s">
        <v>226</v>
      </c>
      <c r="K252" s="238">
        <v>0.21199999999999999</v>
      </c>
      <c r="L252" s="59">
        <f t="shared" si="236"/>
        <v>0.42399999999999999</v>
      </c>
      <c r="M252" s="57">
        <f>IF(VLOOKUP(E252,'HOURLY RATES'!C$6:D$105,2,0)=0,$E$3,VLOOKUP(E252,'HOURLY RATES'!C$6:D$105,2,0))</f>
        <v>73.944999999999993</v>
      </c>
      <c r="N252" s="57">
        <f t="shared" si="237"/>
        <v>31.352679999999996</v>
      </c>
      <c r="O252" s="60">
        <v>2.8000000000000003</v>
      </c>
      <c r="P252" s="242">
        <f t="shared" si="238"/>
        <v>5.6000000000000005</v>
      </c>
      <c r="Q252" s="61">
        <f t="shared" si="239"/>
        <v>36.952679999999994</v>
      </c>
      <c r="R252" s="142"/>
      <c r="S252" s="108">
        <f t="shared" si="240"/>
        <v>22.748679379999995</v>
      </c>
      <c r="T252" s="107">
        <f t="shared" si="241"/>
        <v>45.49735875999999</v>
      </c>
    </row>
    <row r="253" spans="1:23" s="7" customFormat="1" x14ac:dyDescent="0.2">
      <c r="A253" s="141">
        <f>IF(J253&lt;&gt;"",1+MAX($A$18:A252),"")</f>
        <v>172</v>
      </c>
      <c r="B253" s="97" t="s">
        <v>817</v>
      </c>
      <c r="C253" s="97" t="s">
        <v>817</v>
      </c>
      <c r="D253" s="95" t="s">
        <v>50</v>
      </c>
      <c r="E253" s="183" t="s">
        <v>72</v>
      </c>
      <c r="F253" s="112" t="s">
        <v>767</v>
      </c>
      <c r="G253" s="115">
        <v>2</v>
      </c>
      <c r="H253" s="51">
        <f>IF(VLOOKUP(J253,'HOURLY RATES'!B$116:C$124,2,0)=0,$J$3,VLOOKUP(J253,'HOURLY RATES'!B$116:C$124,2,0))</f>
        <v>0</v>
      </c>
      <c r="I253" s="52">
        <f t="shared" ref="I253:I254" si="242">(G253*(1+H253))</f>
        <v>2</v>
      </c>
      <c r="J253" s="94" t="s">
        <v>226</v>
      </c>
      <c r="K253" s="238">
        <v>1.23</v>
      </c>
      <c r="L253" s="59">
        <f t="shared" si="236"/>
        <v>2.46</v>
      </c>
      <c r="M253" s="57">
        <f>IF(VLOOKUP(E253,'HOURLY RATES'!C$6:D$105,2,0)=0,$E$3,VLOOKUP(E253,'HOURLY RATES'!C$6:D$105,2,0))</f>
        <v>73.944999999999993</v>
      </c>
      <c r="N253" s="57">
        <f t="shared" si="237"/>
        <v>181.90469999999999</v>
      </c>
      <c r="O253" s="60">
        <v>14.5</v>
      </c>
      <c r="P253" s="242">
        <f t="shared" si="238"/>
        <v>29</v>
      </c>
      <c r="Q253" s="61">
        <f t="shared" si="239"/>
        <v>210.90469999999999</v>
      </c>
      <c r="R253" s="142"/>
      <c r="S253" s="108">
        <f t="shared" si="240"/>
        <v>129.70710882499998</v>
      </c>
      <c r="T253" s="107">
        <f t="shared" si="241"/>
        <v>259.41421764999996</v>
      </c>
    </row>
    <row r="254" spans="1:23" s="7" customFormat="1" x14ac:dyDescent="0.2">
      <c r="A254" s="141">
        <f>IF(J254&lt;&gt;"",1+MAX($A$18:A253),"")</f>
        <v>173</v>
      </c>
      <c r="B254" s="97" t="s">
        <v>817</v>
      </c>
      <c r="C254" s="97" t="s">
        <v>817</v>
      </c>
      <c r="D254" s="95" t="s">
        <v>50</v>
      </c>
      <c r="E254" s="183" t="s">
        <v>72</v>
      </c>
      <c r="F254" s="112" t="s">
        <v>795</v>
      </c>
      <c r="G254" s="115">
        <v>1</v>
      </c>
      <c r="H254" s="51">
        <f>IF(VLOOKUP(J254,'HOURLY RATES'!B$116:C$124,2,0)=0,$J$3,VLOOKUP(J254,'HOURLY RATES'!B$116:C$124,2,0))</f>
        <v>0</v>
      </c>
      <c r="I254" s="52">
        <f t="shared" si="242"/>
        <v>1</v>
      </c>
      <c r="J254" s="94" t="s">
        <v>226</v>
      </c>
      <c r="K254" s="238">
        <v>1.5</v>
      </c>
      <c r="L254" s="59">
        <f t="shared" si="236"/>
        <v>1.5</v>
      </c>
      <c r="M254" s="57">
        <f>IF(VLOOKUP(E254,'HOURLY RATES'!C$6:D$105,2,0)=0,$E$3,VLOOKUP(E254,'HOURLY RATES'!C$6:D$105,2,0))</f>
        <v>73.944999999999993</v>
      </c>
      <c r="N254" s="57">
        <f t="shared" si="237"/>
        <v>110.91749999999999</v>
      </c>
      <c r="O254" s="60">
        <v>18</v>
      </c>
      <c r="P254" s="242">
        <f t="shared" si="238"/>
        <v>18</v>
      </c>
      <c r="Q254" s="61">
        <f t="shared" si="239"/>
        <v>128.91749999999999</v>
      </c>
      <c r="R254" s="142"/>
      <c r="S254" s="108">
        <f t="shared" si="240"/>
        <v>158.59328309999995</v>
      </c>
      <c r="T254" s="107">
        <f t="shared" si="241"/>
        <v>158.59328309999995</v>
      </c>
    </row>
    <row r="255" spans="1:23" s="7" customFormat="1" ht="17.25" x14ac:dyDescent="0.2">
      <c r="A255" s="141" t="str">
        <f>IF(J255&lt;&gt;"",1+MAX($A$18:A254),"")</f>
        <v/>
      </c>
      <c r="B255" s="111"/>
      <c r="C255" s="114"/>
      <c r="D255" s="98"/>
      <c r="E255" s="184"/>
      <c r="F255" s="179" t="s">
        <v>223</v>
      </c>
      <c r="G255" s="113"/>
      <c r="H255" s="99"/>
      <c r="I255" s="100"/>
      <c r="J255" s="110"/>
      <c r="K255" s="244"/>
      <c r="L255" s="245"/>
      <c r="M255" s="246"/>
      <c r="N255" s="246"/>
      <c r="O255" s="60"/>
      <c r="P255" s="247"/>
      <c r="Q255" s="248"/>
      <c r="R255" s="109"/>
      <c r="S255" s="108"/>
      <c r="T255" s="107"/>
    </row>
    <row r="256" spans="1:23" s="7" customFormat="1" x14ac:dyDescent="0.2">
      <c r="A256" s="141" t="str">
        <f>IF(J256&lt;&gt;"",1+MAX($A$18:A255),"")</f>
        <v/>
      </c>
      <c r="B256" s="97"/>
      <c r="C256" s="101"/>
      <c r="D256" s="95"/>
      <c r="E256" s="183"/>
      <c r="F256" s="119" t="s">
        <v>717</v>
      </c>
      <c r="G256" s="96"/>
      <c r="H256" s="99"/>
      <c r="I256" s="100"/>
      <c r="J256" s="94"/>
      <c r="K256" s="239"/>
      <c r="L256" s="240"/>
      <c r="M256" s="241"/>
      <c r="N256" s="241"/>
      <c r="O256" s="242"/>
      <c r="P256" s="242"/>
      <c r="Q256" s="243"/>
      <c r="R256" s="109"/>
      <c r="S256" s="108"/>
      <c r="T256" s="107"/>
    </row>
    <row r="257" spans="1:23" s="7" customFormat="1" x14ac:dyDescent="0.2">
      <c r="A257" s="141">
        <f>IF(J257&lt;&gt;"",1+MAX($A$18:A256),"")</f>
        <v>174</v>
      </c>
      <c r="B257" s="49"/>
      <c r="C257" s="62"/>
      <c r="D257" s="95" t="s">
        <v>48</v>
      </c>
      <c r="E257" s="182" t="s">
        <v>82</v>
      </c>
      <c r="F257" s="176" t="s">
        <v>779</v>
      </c>
      <c r="G257" s="50">
        <v>1</v>
      </c>
      <c r="H257" s="51">
        <f>IF(VLOOKUP(J257,'HOURLY RATES'!B$116:C$124,2,0)=0,$J$3,VLOOKUP(J257,'HOURLY RATES'!B$116:C$124,2,0))</f>
        <v>0</v>
      </c>
      <c r="I257" s="52">
        <f t="shared" ref="I257" si="243">(G257*(1+H257))</f>
        <v>1</v>
      </c>
      <c r="J257" s="94" t="s">
        <v>226</v>
      </c>
      <c r="K257" s="238">
        <v>0.21199999999999999</v>
      </c>
      <c r="L257" s="59">
        <f t="shared" ref="L257" si="244">K257*I257</f>
        <v>0.21199999999999999</v>
      </c>
      <c r="M257" s="57">
        <f>IF(VLOOKUP(E257,'HOURLY RATES'!C$6:D$105,2,0)=0,$E$3,VLOOKUP(E257,'HOURLY RATES'!C$6:D$105,2,0))</f>
        <v>73.944999999999993</v>
      </c>
      <c r="N257" s="57">
        <f t="shared" ref="N257" si="245">M257*L257</f>
        <v>15.676339999999998</v>
      </c>
      <c r="O257" s="60">
        <v>28</v>
      </c>
      <c r="P257" s="60">
        <f>O257*I257</f>
        <v>28</v>
      </c>
      <c r="Q257" s="61">
        <f t="shared" ref="Q257" si="246">P257+N257</f>
        <v>43.676339999999996</v>
      </c>
      <c r="R257" s="142"/>
      <c r="S257" s="108">
        <f t="shared" ref="S257" si="247">((((N257*(1+$D$7))+(P257*(1+$D$5+$D$6)))*(1+$D$8)))/I257</f>
        <v>55.642754719999992</v>
      </c>
      <c r="T257" s="107">
        <f t="shared" ref="T257" si="248">S257*I257</f>
        <v>55.642754719999992</v>
      </c>
    </row>
    <row r="258" spans="1:23" s="7" customFormat="1" x14ac:dyDescent="0.2">
      <c r="A258" s="141" t="str">
        <f>IF(J258&lt;&gt;"",1+MAX($A$18:A257),"")</f>
        <v/>
      </c>
      <c r="B258" s="97"/>
      <c r="C258" s="101"/>
      <c r="D258" s="95"/>
      <c r="E258" s="183"/>
      <c r="F258" s="217" t="s">
        <v>223</v>
      </c>
      <c r="G258" s="115"/>
      <c r="H258" s="51"/>
      <c r="I258" s="52"/>
      <c r="J258" s="94"/>
      <c r="K258" s="238"/>
      <c r="L258" s="59"/>
      <c r="M258" s="57"/>
      <c r="N258" s="57"/>
      <c r="O258" s="60"/>
      <c r="P258" s="60"/>
      <c r="Q258" s="61"/>
      <c r="R258" s="109"/>
      <c r="S258" s="108"/>
      <c r="T258" s="107"/>
    </row>
    <row r="259" spans="1:23" s="7" customFormat="1" ht="17.25" x14ac:dyDescent="0.2">
      <c r="A259" s="141" t="str">
        <f>IF(J259&lt;&gt;"",1+MAX($A$18:A258),"")</f>
        <v/>
      </c>
      <c r="B259" s="111"/>
      <c r="C259" s="114"/>
      <c r="D259" s="98"/>
      <c r="E259" s="184"/>
      <c r="F259" s="180" t="s">
        <v>726</v>
      </c>
      <c r="G259" s="96"/>
      <c r="H259" s="99"/>
      <c r="I259" s="100"/>
      <c r="J259" s="110"/>
      <c r="K259" s="244"/>
      <c r="L259" s="245"/>
      <c r="M259" s="246"/>
      <c r="N259" s="246"/>
      <c r="O259" s="247"/>
      <c r="P259" s="247"/>
      <c r="Q259" s="248"/>
      <c r="R259" s="109"/>
      <c r="S259" s="108"/>
      <c r="T259" s="107"/>
    </row>
    <row r="260" spans="1:23" s="7" customFormat="1" ht="17.25" x14ac:dyDescent="0.2">
      <c r="A260" s="141" t="str">
        <f>IF(J260&lt;&gt;"",1+MAX($A$18:A259),"")</f>
        <v/>
      </c>
      <c r="B260" s="111"/>
      <c r="C260" s="114"/>
      <c r="D260" s="98"/>
      <c r="E260" s="184"/>
      <c r="F260" s="181" t="s">
        <v>741</v>
      </c>
      <c r="G260" s="96"/>
      <c r="H260" s="99"/>
      <c r="I260" s="100"/>
      <c r="J260" s="110"/>
      <c r="K260" s="244"/>
      <c r="L260" s="245"/>
      <c r="M260" s="246"/>
      <c r="N260" s="246"/>
      <c r="O260" s="247"/>
      <c r="P260" s="247"/>
      <c r="Q260" s="248"/>
      <c r="R260" s="109"/>
      <c r="S260" s="108"/>
      <c r="T260" s="107"/>
    </row>
    <row r="261" spans="1:23" s="7" customFormat="1" x14ac:dyDescent="0.2">
      <c r="A261" s="141">
        <f>IF(J261&lt;&gt;"",1+MAX($A$18:A260),"")</f>
        <v>175</v>
      </c>
      <c r="B261" s="111"/>
      <c r="C261" s="111"/>
      <c r="D261" s="95" t="s">
        <v>50</v>
      </c>
      <c r="E261" s="183" t="s">
        <v>72</v>
      </c>
      <c r="F261" s="112" t="s">
        <v>737</v>
      </c>
      <c r="G261" s="115">
        <f>1136</f>
        <v>1136</v>
      </c>
      <c r="H261" s="51">
        <f>IF(VLOOKUP(J261,'HOURLY RATES'!B$116:C$124,2,0)=0,$J$3,VLOOKUP(J261,'HOURLY RATES'!B$116:C$124,2,0))</f>
        <v>0.05</v>
      </c>
      <c r="I261" s="52">
        <f t="shared" ref="I261" si="249">(G261*(1+H261))</f>
        <v>1192.8</v>
      </c>
      <c r="J261" s="94" t="s">
        <v>225</v>
      </c>
      <c r="K261" s="238">
        <v>8.0000000000000002E-3</v>
      </c>
      <c r="L261" s="59">
        <f>K261*I261</f>
        <v>9.5424000000000007</v>
      </c>
      <c r="M261" s="57">
        <f>IF(VLOOKUP(E261,'HOURLY RATES'!C$6:D$105,2,0)=0,$E$3,VLOOKUP(E261,'HOURLY RATES'!C$6:D$105,2,0))</f>
        <v>73.944999999999993</v>
      </c>
      <c r="N261" s="57">
        <f>M261*L261</f>
        <v>705.61276799999996</v>
      </c>
      <c r="O261" s="60">
        <v>0.25</v>
      </c>
      <c r="P261" s="242">
        <f>O261*I261</f>
        <v>298.2</v>
      </c>
      <c r="Q261" s="61">
        <f t="shared" ref="Q261" si="250">P261+N261</f>
        <v>1003.812768</v>
      </c>
      <c r="R261" s="142"/>
      <c r="S261" s="108">
        <f>((((N261*(1+$D$7))+(P261*(1+$D$5+$D$6)))*(1+$D$8)))/I261</f>
        <v>1.0468501924999998</v>
      </c>
      <c r="T261" s="107">
        <f>S261*I261</f>
        <v>1248.6829096139998</v>
      </c>
      <c r="W261" s="3"/>
    </row>
    <row r="262" spans="1:23" s="7" customFormat="1" ht="17.25" x14ac:dyDescent="0.2">
      <c r="A262" s="141" t="str">
        <f>IF(J262&lt;&gt;"",1+MAX($A$18:A261),"")</f>
        <v/>
      </c>
      <c r="B262" s="111"/>
      <c r="C262" s="111"/>
      <c r="D262" s="98"/>
      <c r="E262" s="184"/>
      <c r="F262" s="112" t="s">
        <v>223</v>
      </c>
      <c r="G262" s="115"/>
      <c r="H262" s="116"/>
      <c r="I262" s="100"/>
      <c r="J262" s="110"/>
      <c r="K262" s="244"/>
      <c r="L262" s="245"/>
      <c r="M262" s="246"/>
      <c r="N262" s="246"/>
      <c r="O262" s="247"/>
      <c r="P262" s="247"/>
      <c r="Q262" s="248"/>
      <c r="R262" s="109"/>
      <c r="S262" s="108"/>
      <c r="T262" s="107"/>
      <c r="W262" s="3"/>
    </row>
    <row r="263" spans="1:23" s="7" customFormat="1" x14ac:dyDescent="0.2">
      <c r="A263" s="141">
        <f>IF(J263&lt;&gt;"",1+MAX($A$18:A262),"")</f>
        <v>176</v>
      </c>
      <c r="B263" s="49"/>
      <c r="C263" s="62"/>
      <c r="D263" s="95" t="s">
        <v>50</v>
      </c>
      <c r="E263" s="182" t="s">
        <v>72</v>
      </c>
      <c r="F263" s="176" t="s">
        <v>916</v>
      </c>
      <c r="G263" s="50">
        <v>27</v>
      </c>
      <c r="H263" s="51">
        <f>IF(VLOOKUP(J263,'HOURLY RATES'!B$116:C$124,2,0)=0,$J$3,VLOOKUP(J263,'HOURLY RATES'!B$116:C$124,2,0))</f>
        <v>0.05</v>
      </c>
      <c r="I263" s="52">
        <f t="shared" ref="I263" si="251">(G263*(1+H263))</f>
        <v>28.35</v>
      </c>
      <c r="J263" s="94" t="s">
        <v>225</v>
      </c>
      <c r="K263" s="238">
        <v>0.17699999999999999</v>
      </c>
      <c r="L263" s="59">
        <f>K263*I263</f>
        <v>5.0179499999999999</v>
      </c>
      <c r="M263" s="57">
        <f>IF(VLOOKUP(E263,'HOURLY RATES'!C$6:D$105,2,0)=0,$E$3,VLOOKUP(E263,'HOURLY RATES'!C$6:D$105,2,0))</f>
        <v>73.944999999999993</v>
      </c>
      <c r="N263" s="57">
        <f>M263*L263</f>
        <v>371.05231274999994</v>
      </c>
      <c r="O263" s="60">
        <v>10.1</v>
      </c>
      <c r="P263" s="60">
        <f t="shared" ref="P263:P265" si="252">O263*I263</f>
        <v>286.33499999999998</v>
      </c>
      <c r="Q263" s="61">
        <f t="shared" ref="Q263" si="253">P263+N263</f>
        <v>657.38731274999986</v>
      </c>
      <c r="R263" s="142"/>
      <c r="S263" s="108">
        <f>((((N263*(1+$D$7))+(P263*(1+$D$5+$D$6)))*(1+$D$8)))/I263</f>
        <v>29.125243314999992</v>
      </c>
      <c r="T263" s="107">
        <f>S263*I263</f>
        <v>825.70064798024976</v>
      </c>
    </row>
    <row r="264" spans="1:23" s="7" customFormat="1" x14ac:dyDescent="0.2">
      <c r="A264" s="141">
        <f>IF(J264&lt;&gt;"",1+MAX($A$18:A263),"")</f>
        <v>177</v>
      </c>
      <c r="B264" s="49"/>
      <c r="C264" s="62"/>
      <c r="D264" s="95" t="s">
        <v>50</v>
      </c>
      <c r="E264" s="182" t="s">
        <v>72</v>
      </c>
      <c r="F264" s="176" t="s">
        <v>820</v>
      </c>
      <c r="G264" s="50">
        <v>12</v>
      </c>
      <c r="H264" s="51">
        <f>IF(VLOOKUP(J264,'HOURLY RATES'!B$116:C$124,2,0)=0,$J$3,VLOOKUP(J264,'HOURLY RATES'!B$116:C$124,2,0))</f>
        <v>0.05</v>
      </c>
      <c r="I264" s="52">
        <f t="shared" ref="I264" si="254">(G264*(1+H264))</f>
        <v>12.600000000000001</v>
      </c>
      <c r="J264" s="94" t="s">
        <v>225</v>
      </c>
      <c r="K264" s="238">
        <v>7.0000000000000007E-2</v>
      </c>
      <c r="L264" s="59">
        <f>K264*I264</f>
        <v>0.88200000000000023</v>
      </c>
      <c r="M264" s="57">
        <f>IF(VLOOKUP(E264,'HOURLY RATES'!C$6:D$105,2,0)=0,$E$3,VLOOKUP(E264,'HOURLY RATES'!C$6:D$105,2,0))</f>
        <v>73.944999999999993</v>
      </c>
      <c r="N264" s="57">
        <f>M264*L264</f>
        <v>65.219490000000008</v>
      </c>
      <c r="O264" s="60">
        <v>3.11</v>
      </c>
      <c r="P264" s="60">
        <f t="shared" si="252"/>
        <v>39.186</v>
      </c>
      <c r="Q264" s="61">
        <f t="shared" ref="Q264" si="255">P264+N264</f>
        <v>104.40549000000001</v>
      </c>
      <c r="R264" s="142"/>
      <c r="S264" s="108">
        <f>((((N264*(1+$D$7))+(P264*(1+$D$5+$D$6)))*(1+$D$8)))/I264</f>
        <v>10.364097299499999</v>
      </c>
      <c r="T264" s="107">
        <f>S264*I264</f>
        <v>130.5876259737</v>
      </c>
    </row>
    <row r="265" spans="1:23" s="7" customFormat="1" x14ac:dyDescent="0.2">
      <c r="A265" s="141">
        <f>IF(J265&lt;&gt;"",1+MAX($A$18:A264),"")</f>
        <v>178</v>
      </c>
      <c r="B265" s="49"/>
      <c r="C265" s="62"/>
      <c r="D265" s="95" t="s">
        <v>50</v>
      </c>
      <c r="E265" s="182" t="s">
        <v>72</v>
      </c>
      <c r="F265" s="176" t="s">
        <v>808</v>
      </c>
      <c r="G265" s="50">
        <v>160</v>
      </c>
      <c r="H265" s="51">
        <f>IF(VLOOKUP(J265,'HOURLY RATES'!B$116:C$124,2,0)=0,$J$3,VLOOKUP(J265,'HOURLY RATES'!B$116:C$124,2,0))</f>
        <v>0.05</v>
      </c>
      <c r="I265" s="52">
        <f t="shared" ref="I265:I270" si="256">(G265*(1+H265))</f>
        <v>168</v>
      </c>
      <c r="J265" s="94" t="s">
        <v>225</v>
      </c>
      <c r="K265" s="238">
        <v>7.0000000000000007E-2</v>
      </c>
      <c r="L265" s="59">
        <f>K265*I265</f>
        <v>11.760000000000002</v>
      </c>
      <c r="M265" s="57">
        <f>IF(VLOOKUP(E265,'HOURLY RATES'!C$6:D$105,2,0)=0,$E$3,VLOOKUP(E265,'HOURLY RATES'!C$6:D$105,2,0))</f>
        <v>73.944999999999993</v>
      </c>
      <c r="N265" s="57">
        <f>M265*L265</f>
        <v>869.59320000000002</v>
      </c>
      <c r="O265" s="60">
        <v>3.11</v>
      </c>
      <c r="P265" s="60">
        <f t="shared" si="252"/>
        <v>522.48</v>
      </c>
      <c r="Q265" s="61">
        <f t="shared" ref="Q265" si="257">P265+N265</f>
        <v>1392.0732</v>
      </c>
      <c r="R265" s="142"/>
      <c r="S265" s="108">
        <f>((((N265*(1+$D$7))+(P265*(1+$D$5+$D$6)))*(1+$D$8)))/I265</f>
        <v>10.364097299499999</v>
      </c>
      <c r="T265" s="107">
        <f>S265*I265</f>
        <v>1741.1683463159998</v>
      </c>
    </row>
    <row r="266" spans="1:23" s="7" customFormat="1" x14ac:dyDescent="0.2">
      <c r="A266" s="141">
        <f>IF(J266&lt;&gt;"",1+MAX($A$18:A265),"")</f>
        <v>179</v>
      </c>
      <c r="B266" s="49"/>
      <c r="C266" s="62"/>
      <c r="D266" s="95"/>
      <c r="E266" s="182"/>
      <c r="F266" s="278" t="s">
        <v>846</v>
      </c>
      <c r="G266" s="96">
        <f>ROUNDUP(G265*8%,0)</f>
        <v>13</v>
      </c>
      <c r="H266" s="51">
        <f>IF(VLOOKUP(J266,'HOURLY RATES'!B$116:C$124,2,0)=0,$J$3,VLOOKUP(J266,'HOURLY RATES'!B$116:C$124,2,0))</f>
        <v>0</v>
      </c>
      <c r="I266" s="52">
        <f t="shared" si="256"/>
        <v>13</v>
      </c>
      <c r="J266" s="94" t="s">
        <v>226</v>
      </c>
      <c r="K266" s="238"/>
      <c r="L266" s="59"/>
      <c r="M266" s="57"/>
      <c r="N266" s="57"/>
      <c r="O266" s="60"/>
      <c r="P266" s="60"/>
      <c r="Q266" s="61"/>
      <c r="R266" s="109"/>
      <c r="S266" s="108"/>
      <c r="T266" s="107"/>
    </row>
    <row r="267" spans="1:23" s="7" customFormat="1" ht="17.25" x14ac:dyDescent="0.2">
      <c r="A267" s="141">
        <f>IF(J267&lt;&gt;"",1+MAX($A$18:A266),"")</f>
        <v>180</v>
      </c>
      <c r="B267" s="111"/>
      <c r="C267" s="111"/>
      <c r="D267" s="98"/>
      <c r="E267" s="184"/>
      <c r="F267" s="117" t="s">
        <v>729</v>
      </c>
      <c r="G267" s="96">
        <f>ROUNDUP(G265/10,0)</f>
        <v>16</v>
      </c>
      <c r="H267" s="51">
        <f>IF(VLOOKUP(J267,'HOURLY RATES'!B$116:C$124,2,0)=0,$J$3,VLOOKUP(J267,'HOURLY RATES'!B$116:C$124,2,0))</f>
        <v>0</v>
      </c>
      <c r="I267" s="52">
        <f t="shared" si="256"/>
        <v>16</v>
      </c>
      <c r="J267" s="94" t="s">
        <v>226</v>
      </c>
      <c r="K267" s="244"/>
      <c r="L267" s="245"/>
      <c r="M267" s="246"/>
      <c r="N267" s="246"/>
      <c r="O267" s="247"/>
      <c r="P267" s="247"/>
      <c r="Q267" s="248"/>
      <c r="R267" s="109"/>
      <c r="S267" s="108"/>
      <c r="T267" s="107"/>
      <c r="W267" s="3"/>
    </row>
    <row r="268" spans="1:23" s="7" customFormat="1" ht="17.25" x14ac:dyDescent="0.2">
      <c r="A268" s="141">
        <f>IF(J268&lt;&gt;"",1+MAX($A$18:A267),"")</f>
        <v>181</v>
      </c>
      <c r="B268" s="111"/>
      <c r="C268" s="111"/>
      <c r="D268" s="98"/>
      <c r="E268" s="184"/>
      <c r="F268" s="117" t="s">
        <v>730</v>
      </c>
      <c r="G268" s="96">
        <f>ROUNDUP(G265/9.2,0)+ROUNDUP(G265*4%,0)</f>
        <v>25</v>
      </c>
      <c r="H268" s="51">
        <f>IF(VLOOKUP(J268,'HOURLY RATES'!B$116:C$124,2,0)=0,$J$3,VLOOKUP(J268,'HOURLY RATES'!B$116:C$124,2,0))</f>
        <v>0</v>
      </c>
      <c r="I268" s="52">
        <f t="shared" si="256"/>
        <v>25</v>
      </c>
      <c r="J268" s="94" t="s">
        <v>226</v>
      </c>
      <c r="K268" s="244"/>
      <c r="L268" s="245"/>
      <c r="M268" s="246"/>
      <c r="N268" s="246"/>
      <c r="O268" s="247"/>
      <c r="P268" s="247"/>
      <c r="Q268" s="248"/>
      <c r="R268" s="109"/>
      <c r="S268" s="108"/>
      <c r="T268" s="107"/>
      <c r="W268" s="3"/>
    </row>
    <row r="269" spans="1:23" s="7" customFormat="1" ht="17.25" x14ac:dyDescent="0.2">
      <c r="A269" s="141">
        <f>IF(J269&lt;&gt;"",1+MAX($A$18:A268),"")</f>
        <v>182</v>
      </c>
      <c r="B269" s="111"/>
      <c r="C269" s="111"/>
      <c r="D269" s="98"/>
      <c r="E269" s="184"/>
      <c r="F269" s="117" t="s">
        <v>731</v>
      </c>
      <c r="G269" s="96">
        <f>ROUNDUP(G265/9.2,0)+ROUNDUP(G265*9%,0)</f>
        <v>33</v>
      </c>
      <c r="H269" s="51">
        <f>IF(VLOOKUP(J269,'HOURLY RATES'!B$116:C$124,2,0)=0,$J$3,VLOOKUP(J269,'HOURLY RATES'!B$116:C$124,2,0))</f>
        <v>0</v>
      </c>
      <c r="I269" s="52">
        <f t="shared" si="256"/>
        <v>33</v>
      </c>
      <c r="J269" s="94" t="s">
        <v>226</v>
      </c>
      <c r="K269" s="244"/>
      <c r="L269" s="245"/>
      <c r="M269" s="246"/>
      <c r="N269" s="246"/>
      <c r="O269" s="247"/>
      <c r="P269" s="247"/>
      <c r="Q269" s="248"/>
      <c r="R269" s="109"/>
      <c r="S269" s="108"/>
      <c r="T269" s="107"/>
      <c r="W269" s="3"/>
    </row>
    <row r="270" spans="1:23" s="7" customFormat="1" ht="17.25" x14ac:dyDescent="0.2">
      <c r="A270" s="141">
        <f>IF(J270&lt;&gt;"",1+MAX($A$18:A269),"")</f>
        <v>183</v>
      </c>
      <c r="B270" s="111"/>
      <c r="C270" s="111"/>
      <c r="D270" s="98"/>
      <c r="E270" s="184"/>
      <c r="F270" s="117" t="s">
        <v>732</v>
      </c>
      <c r="G270" s="96">
        <f>ROUNDUP(G265/9.2,0)+ROUNDUP(G265*9%,0)</f>
        <v>33</v>
      </c>
      <c r="H270" s="51">
        <f>IF(VLOOKUP(J270,'HOURLY RATES'!B$116:C$124,2,0)=0,$J$3,VLOOKUP(J270,'HOURLY RATES'!B$116:C$124,2,0))</f>
        <v>0</v>
      </c>
      <c r="I270" s="52">
        <f t="shared" si="256"/>
        <v>33</v>
      </c>
      <c r="J270" s="94" t="s">
        <v>226</v>
      </c>
      <c r="K270" s="244"/>
      <c r="L270" s="245"/>
      <c r="M270" s="246"/>
      <c r="N270" s="246"/>
      <c r="O270" s="247"/>
      <c r="P270" s="247"/>
      <c r="Q270" s="248"/>
      <c r="R270" s="109"/>
      <c r="S270" s="108"/>
      <c r="T270" s="107"/>
      <c r="W270" s="3"/>
    </row>
    <row r="271" spans="1:23" s="7" customFormat="1" x14ac:dyDescent="0.2">
      <c r="A271" s="141" t="str">
        <f>IF(J271&lt;&gt;"",1+MAX($A$18:A270),"")</f>
        <v/>
      </c>
      <c r="B271" s="49"/>
      <c r="C271" s="62"/>
      <c r="D271" s="95"/>
      <c r="E271" s="182"/>
      <c r="F271" s="176" t="s">
        <v>223</v>
      </c>
      <c r="G271" s="50"/>
      <c r="H271" s="51"/>
      <c r="I271" s="52"/>
      <c r="J271" s="94"/>
      <c r="K271" s="238"/>
      <c r="L271" s="59"/>
      <c r="M271" s="57"/>
      <c r="N271" s="57"/>
      <c r="O271" s="60"/>
      <c r="P271" s="60"/>
      <c r="Q271" s="61"/>
      <c r="R271" s="142"/>
      <c r="S271" s="108"/>
      <c r="T271" s="107"/>
    </row>
    <row r="272" spans="1:23" s="7" customFormat="1" x14ac:dyDescent="0.2">
      <c r="A272" s="256" t="str">
        <f>IF(J272&lt;&gt;"",1+MAX($A$18:A271),"")</f>
        <v/>
      </c>
      <c r="B272" s="256"/>
      <c r="C272" s="256"/>
      <c r="D272" s="256" t="s">
        <v>738</v>
      </c>
      <c r="E272" s="257"/>
      <c r="F272" s="258" t="s">
        <v>739</v>
      </c>
      <c r="G272" s="259"/>
      <c r="H272" s="258"/>
      <c r="I272" s="260"/>
      <c r="J272" s="260"/>
      <c r="K272" s="258"/>
      <c r="L272" s="258"/>
      <c r="M272" s="258"/>
      <c r="N272" s="258"/>
      <c r="O272" s="258"/>
      <c r="P272" s="258"/>
      <c r="Q272" s="258"/>
      <c r="R272" s="261">
        <f>SUM(Q273:Q345)</f>
        <v>29961.131188264997</v>
      </c>
      <c r="S272" s="108"/>
      <c r="T272" s="107"/>
    </row>
    <row r="273" spans="1:23" s="7" customFormat="1" x14ac:dyDescent="0.2">
      <c r="A273" s="141" t="str">
        <f>IF(J273&lt;&gt;"",1+MAX($A$18:A272),"")</f>
        <v/>
      </c>
      <c r="B273" s="97"/>
      <c r="C273" s="101"/>
      <c r="D273" s="95"/>
      <c r="E273" s="183"/>
      <c r="F273" s="120" t="s">
        <v>223</v>
      </c>
      <c r="G273" s="96"/>
      <c r="H273" s="99"/>
      <c r="I273" s="100"/>
      <c r="J273" s="94"/>
      <c r="K273" s="239"/>
      <c r="L273" s="240"/>
      <c r="M273" s="241"/>
      <c r="N273" s="241"/>
      <c r="O273" s="242"/>
      <c r="P273" s="242"/>
      <c r="Q273" s="243"/>
      <c r="R273" s="109"/>
      <c r="S273" s="108"/>
      <c r="T273" s="107"/>
    </row>
    <row r="274" spans="1:23" s="7" customFormat="1" x14ac:dyDescent="0.2">
      <c r="A274" s="141" t="str">
        <f>IF(J274&lt;&gt;"",1+MAX($A$18:A273),"")</f>
        <v/>
      </c>
      <c r="B274" s="97"/>
      <c r="C274" s="101"/>
      <c r="D274" s="95"/>
      <c r="E274" s="183"/>
      <c r="F274" s="119" t="s">
        <v>740</v>
      </c>
      <c r="G274" s="96"/>
      <c r="H274" s="99"/>
      <c r="I274" s="100"/>
      <c r="J274" s="94"/>
      <c r="K274" s="239"/>
      <c r="L274" s="240"/>
      <c r="M274" s="241"/>
      <c r="N274" s="241"/>
      <c r="O274" s="242"/>
      <c r="P274" s="242"/>
      <c r="Q274" s="243"/>
      <c r="R274" s="109"/>
      <c r="S274" s="108"/>
      <c r="T274" s="107"/>
    </row>
    <row r="275" spans="1:23" s="7" customFormat="1" x14ac:dyDescent="0.2">
      <c r="A275" s="141">
        <f>IF(J275&lt;&gt;"",1+MAX($A$18:A274),"")</f>
        <v>184</v>
      </c>
      <c r="B275" s="111" t="s">
        <v>817</v>
      </c>
      <c r="C275" s="111" t="s">
        <v>817</v>
      </c>
      <c r="D275" s="95" t="s">
        <v>738</v>
      </c>
      <c r="E275" s="183" t="s">
        <v>83</v>
      </c>
      <c r="F275" s="112" t="s">
        <v>796</v>
      </c>
      <c r="G275" s="115">
        <v>2</v>
      </c>
      <c r="H275" s="51">
        <f>IF(VLOOKUP(J275,'HOURLY RATES'!B$116:C$124,2,0)=0,$J$3,VLOOKUP(J275,'HOURLY RATES'!B$116:C$124,2,0))</f>
        <v>0</v>
      </c>
      <c r="I275" s="52">
        <f t="shared" ref="I275:I277" si="258">(G275*(1+H275))</f>
        <v>2</v>
      </c>
      <c r="J275" s="94" t="s">
        <v>226</v>
      </c>
      <c r="K275" s="238">
        <v>0.70550000000000002</v>
      </c>
      <c r="L275" s="59">
        <f t="shared" ref="L275:L277" si="259">K275*I275</f>
        <v>1.411</v>
      </c>
      <c r="M275" s="57">
        <f>IF(VLOOKUP(E275,'HOURLY RATES'!C$6:D$105,2,0)=0,$E$3,VLOOKUP(E275,'HOURLY RATES'!C$6:D$105,2,0))</f>
        <v>73.944999999999993</v>
      </c>
      <c r="N275" s="57">
        <f t="shared" ref="N275:N277" si="260">M275*L275</f>
        <v>104.336395</v>
      </c>
      <c r="O275" s="60">
        <v>8.5</v>
      </c>
      <c r="P275" s="242">
        <f t="shared" ref="P275:P280" si="261">O275*I275</f>
        <v>17</v>
      </c>
      <c r="Q275" s="61">
        <f t="shared" ref="Q275:Q277" si="262">P275+N275</f>
        <v>121.336395</v>
      </c>
      <c r="R275" s="142"/>
      <c r="S275" s="108">
        <f t="shared" ref="S275:S277" si="263">((((N275*(1+$D$7))+(P275*(1+$D$5+$D$6)))*(1+$D$8)))/I275</f>
        <v>74.63608837999999</v>
      </c>
      <c r="T275" s="107">
        <f t="shared" ref="T275:T277" si="264">S275*I275</f>
        <v>149.27217675999998</v>
      </c>
      <c r="W275" s="3"/>
    </row>
    <row r="276" spans="1:23" s="7" customFormat="1" x14ac:dyDescent="0.2">
      <c r="A276" s="141">
        <f>IF(J276&lt;&gt;"",1+MAX($A$18:A275),"")</f>
        <v>185</v>
      </c>
      <c r="B276" s="111" t="s">
        <v>817</v>
      </c>
      <c r="C276" s="111" t="s">
        <v>817</v>
      </c>
      <c r="D276" s="95" t="s">
        <v>738</v>
      </c>
      <c r="E276" s="183" t="s">
        <v>83</v>
      </c>
      <c r="F276" s="112" t="s">
        <v>797</v>
      </c>
      <c r="G276" s="115">
        <v>1</v>
      </c>
      <c r="H276" s="51">
        <f>IF(VLOOKUP(J276,'HOURLY RATES'!B$116:C$124,2,0)=0,$J$3,VLOOKUP(J276,'HOURLY RATES'!B$116:C$124,2,0))</f>
        <v>0</v>
      </c>
      <c r="I276" s="52">
        <f t="shared" si="258"/>
        <v>1</v>
      </c>
      <c r="J276" s="94" t="s">
        <v>226</v>
      </c>
      <c r="K276" s="238">
        <v>4.8499999999999996</v>
      </c>
      <c r="L276" s="59">
        <f t="shared" si="259"/>
        <v>4.8499999999999996</v>
      </c>
      <c r="M276" s="57">
        <f>IF(VLOOKUP(E276,'HOURLY RATES'!C$6:D$105,2,0)=0,$E$3,VLOOKUP(E276,'HOURLY RATES'!C$6:D$105,2,0))</f>
        <v>73.944999999999993</v>
      </c>
      <c r="N276" s="57">
        <f t="shared" si="260"/>
        <v>358.63324999999992</v>
      </c>
      <c r="O276" s="60">
        <v>225</v>
      </c>
      <c r="P276" s="242">
        <f t="shared" si="261"/>
        <v>225</v>
      </c>
      <c r="Q276" s="61">
        <f t="shared" si="262"/>
        <v>583.63324999999986</v>
      </c>
      <c r="R276" s="142"/>
      <c r="S276" s="108">
        <f t="shared" si="263"/>
        <v>730.51239974999976</v>
      </c>
      <c r="T276" s="107">
        <f t="shared" si="264"/>
        <v>730.51239974999976</v>
      </c>
      <c r="W276" s="3"/>
    </row>
    <row r="277" spans="1:23" s="7" customFormat="1" x14ac:dyDescent="0.2">
      <c r="A277" s="141">
        <f>IF(J277&lt;&gt;"",1+MAX($A$18:A276),"")</f>
        <v>186</v>
      </c>
      <c r="B277" s="111" t="s">
        <v>817</v>
      </c>
      <c r="C277" s="111" t="s">
        <v>817</v>
      </c>
      <c r="D277" s="95" t="s">
        <v>738</v>
      </c>
      <c r="E277" s="183" t="s">
        <v>83</v>
      </c>
      <c r="F277" s="112" t="s">
        <v>917</v>
      </c>
      <c r="G277" s="115">
        <v>7</v>
      </c>
      <c r="H277" s="51">
        <f>IF(VLOOKUP(J277,'HOURLY RATES'!B$116:C$124,2,0)=0,$J$3,VLOOKUP(J277,'HOURLY RATES'!B$116:C$124,2,0))</f>
        <v>0</v>
      </c>
      <c r="I277" s="52">
        <f t="shared" si="258"/>
        <v>7</v>
      </c>
      <c r="J277" s="94" t="s">
        <v>226</v>
      </c>
      <c r="K277" s="238">
        <v>2.6560000000000001</v>
      </c>
      <c r="L277" s="59">
        <f t="shared" si="259"/>
        <v>18.592000000000002</v>
      </c>
      <c r="M277" s="57">
        <f>IF(VLOOKUP(E277,'HOURLY RATES'!C$6:D$105,2,0)=0,$E$3,VLOOKUP(E277,'HOURLY RATES'!C$6:D$105,2,0))</f>
        <v>73.944999999999993</v>
      </c>
      <c r="N277" s="57">
        <f t="shared" si="260"/>
        <v>1374.7854400000001</v>
      </c>
      <c r="O277" s="60">
        <v>32</v>
      </c>
      <c r="P277" s="242">
        <f t="shared" si="261"/>
        <v>224</v>
      </c>
      <c r="Q277" s="61">
        <f t="shared" si="262"/>
        <v>1598.7854400000001</v>
      </c>
      <c r="R277" s="142"/>
      <c r="S277" s="108">
        <f t="shared" si="263"/>
        <v>280.98292095999994</v>
      </c>
      <c r="T277" s="107">
        <f t="shared" si="264"/>
        <v>1966.8804467199996</v>
      </c>
      <c r="W277" s="3"/>
    </row>
    <row r="278" spans="1:23" s="7" customFormat="1" x14ac:dyDescent="0.2">
      <c r="A278" s="141">
        <f>IF(J278&lt;&gt;"",1+MAX($A$18:A277),"")</f>
        <v>187</v>
      </c>
      <c r="B278" s="111" t="s">
        <v>817</v>
      </c>
      <c r="C278" s="111" t="s">
        <v>817</v>
      </c>
      <c r="D278" s="95" t="s">
        <v>738</v>
      </c>
      <c r="E278" s="183" t="s">
        <v>83</v>
      </c>
      <c r="F278" s="112" t="s">
        <v>798</v>
      </c>
      <c r="G278" s="115">
        <v>6</v>
      </c>
      <c r="H278" s="51">
        <f>IF(VLOOKUP(J278,'HOURLY RATES'!B$116:C$124,2,0)=0,$J$3,VLOOKUP(J278,'HOURLY RATES'!B$116:C$124,2,0))</f>
        <v>0</v>
      </c>
      <c r="I278" s="52">
        <f t="shared" ref="I278:I280" si="265">(G278*(1+H278))</f>
        <v>6</v>
      </c>
      <c r="J278" s="94" t="s">
        <v>226</v>
      </c>
      <c r="K278" s="238">
        <v>1.2450000000000001</v>
      </c>
      <c r="L278" s="59">
        <f t="shared" ref="L278:L280" si="266">K278*I278</f>
        <v>7.4700000000000006</v>
      </c>
      <c r="M278" s="57">
        <f>IF(VLOOKUP(E278,'HOURLY RATES'!C$6:D$105,2,0)=0,$E$3,VLOOKUP(E278,'HOURLY RATES'!C$6:D$105,2,0))</f>
        <v>73.944999999999993</v>
      </c>
      <c r="N278" s="57">
        <f t="shared" ref="N278:N280" si="267">M278*L278</f>
        <v>552.36914999999999</v>
      </c>
      <c r="O278" s="60">
        <v>15</v>
      </c>
      <c r="P278" s="242">
        <f t="shared" si="261"/>
        <v>90</v>
      </c>
      <c r="Q278" s="61">
        <f t="shared" ref="Q278:Q280" si="268">P278+N278</f>
        <v>642.36914999999999</v>
      </c>
      <c r="R278" s="142"/>
      <c r="S278" s="108">
        <f t="shared" ref="S278:S280" si="269">((((N278*(1+$D$7))+(P278*(1+$D$5+$D$6)))*(1+$D$8)))/I278</f>
        <v>131.71074419999999</v>
      </c>
      <c r="T278" s="107">
        <f t="shared" ref="T278:T280" si="270">S278*I278</f>
        <v>790.2644651999999</v>
      </c>
      <c r="W278" s="3"/>
    </row>
    <row r="279" spans="1:23" s="7" customFormat="1" x14ac:dyDescent="0.2">
      <c r="A279" s="141">
        <f>IF(J279&lt;&gt;"",1+MAX($A$18:A278),"")</f>
        <v>188</v>
      </c>
      <c r="B279" s="111" t="s">
        <v>817</v>
      </c>
      <c r="C279" s="111" t="s">
        <v>817</v>
      </c>
      <c r="D279" s="95" t="s">
        <v>738</v>
      </c>
      <c r="E279" s="183" t="s">
        <v>83</v>
      </c>
      <c r="F279" s="112" t="s">
        <v>918</v>
      </c>
      <c r="G279" s="115">
        <v>4</v>
      </c>
      <c r="H279" s="51">
        <f>IF(VLOOKUP(J279,'HOURLY RATES'!B$116:C$124,2,0)=0,$J$3,VLOOKUP(J279,'HOURLY RATES'!B$116:C$124,2,0))</f>
        <v>0</v>
      </c>
      <c r="I279" s="52">
        <f t="shared" si="265"/>
        <v>4</v>
      </c>
      <c r="J279" s="94" t="s">
        <v>226</v>
      </c>
      <c r="K279" s="238">
        <v>1.7430000000000001</v>
      </c>
      <c r="L279" s="59">
        <f t="shared" si="266"/>
        <v>6.9720000000000004</v>
      </c>
      <c r="M279" s="57">
        <f>IF(VLOOKUP(E279,'HOURLY RATES'!C$6:D$105,2,0)=0,$E$3,VLOOKUP(E279,'HOURLY RATES'!C$6:D$105,2,0))</f>
        <v>73.944999999999993</v>
      </c>
      <c r="N279" s="57">
        <f t="shared" si="267"/>
        <v>515.54453999999998</v>
      </c>
      <c r="O279" s="60">
        <v>21</v>
      </c>
      <c r="P279" s="242">
        <f t="shared" si="261"/>
        <v>84</v>
      </c>
      <c r="Q279" s="61">
        <f t="shared" si="268"/>
        <v>599.54453999999998</v>
      </c>
      <c r="R279" s="142"/>
      <c r="S279" s="108">
        <f t="shared" si="269"/>
        <v>184.39504187999995</v>
      </c>
      <c r="T279" s="107">
        <f t="shared" si="270"/>
        <v>737.5801675199998</v>
      </c>
      <c r="W279" s="3"/>
    </row>
    <row r="280" spans="1:23" s="7" customFormat="1" x14ac:dyDescent="0.2">
      <c r="A280" s="141">
        <f>IF(J280&lt;&gt;"",1+MAX($A$18:A279),"")</f>
        <v>189</v>
      </c>
      <c r="B280" s="111" t="s">
        <v>817</v>
      </c>
      <c r="C280" s="111" t="s">
        <v>817</v>
      </c>
      <c r="D280" s="95" t="s">
        <v>738</v>
      </c>
      <c r="E280" s="183" t="s">
        <v>83</v>
      </c>
      <c r="F280" s="112" t="s">
        <v>829</v>
      </c>
      <c r="G280" s="115">
        <v>2</v>
      </c>
      <c r="H280" s="51">
        <f>IF(VLOOKUP(J280,'HOURLY RATES'!B$116:C$124,2,0)=0,$J$3,VLOOKUP(J280,'HOURLY RATES'!B$116:C$124,2,0))</f>
        <v>0</v>
      </c>
      <c r="I280" s="52">
        <f t="shared" si="265"/>
        <v>2</v>
      </c>
      <c r="J280" s="94" t="s">
        <v>226</v>
      </c>
      <c r="K280" s="238">
        <v>0.78849999999999998</v>
      </c>
      <c r="L280" s="59">
        <f t="shared" si="266"/>
        <v>1.577</v>
      </c>
      <c r="M280" s="57">
        <f>IF(VLOOKUP(E280,'HOURLY RATES'!C$6:D$105,2,0)=0,$E$3,VLOOKUP(E280,'HOURLY RATES'!C$6:D$105,2,0))</f>
        <v>73.944999999999993</v>
      </c>
      <c r="N280" s="57">
        <f t="shared" si="267"/>
        <v>116.61126499999999</v>
      </c>
      <c r="O280" s="60">
        <v>9.5</v>
      </c>
      <c r="P280" s="242">
        <f t="shared" si="261"/>
        <v>19</v>
      </c>
      <c r="Q280" s="61">
        <f t="shared" si="268"/>
        <v>135.611265</v>
      </c>
      <c r="R280" s="142"/>
      <c r="S280" s="108">
        <f t="shared" si="269"/>
        <v>83.416804659999997</v>
      </c>
      <c r="T280" s="107">
        <f t="shared" si="270"/>
        <v>166.83360931999999</v>
      </c>
      <c r="W280" s="3"/>
    </row>
    <row r="281" spans="1:23" s="7" customFormat="1" x14ac:dyDescent="0.2">
      <c r="A281" s="141" t="str">
        <f>IF(J281&lt;&gt;"",1+MAX($A$18:A280),"")</f>
        <v/>
      </c>
      <c r="B281" s="111"/>
      <c r="C281" s="111"/>
      <c r="D281" s="95"/>
      <c r="E281" s="183"/>
      <c r="F281" s="112" t="s">
        <v>223</v>
      </c>
      <c r="G281" s="115"/>
      <c r="H281" s="51"/>
      <c r="I281" s="52"/>
      <c r="J281" s="94"/>
      <c r="K281" s="238"/>
      <c r="L281" s="59"/>
      <c r="M281" s="57"/>
      <c r="N281" s="57"/>
      <c r="O281" s="60"/>
      <c r="P281" s="242"/>
      <c r="Q281" s="61"/>
      <c r="R281" s="142"/>
      <c r="S281" s="108"/>
      <c r="T281" s="107"/>
      <c r="W281" s="3"/>
    </row>
    <row r="282" spans="1:23" s="7" customFormat="1" x14ac:dyDescent="0.2">
      <c r="A282" s="141" t="str">
        <f>IF(J282&lt;&gt;"",1+MAX($A$18:A281),"")</f>
        <v/>
      </c>
      <c r="B282" s="111"/>
      <c r="C282" s="111"/>
      <c r="D282" s="95"/>
      <c r="E282" s="183"/>
      <c r="F282" s="119" t="s">
        <v>771</v>
      </c>
      <c r="G282" s="115"/>
      <c r="H282" s="51"/>
      <c r="I282" s="52"/>
      <c r="J282" s="94"/>
      <c r="K282" s="238"/>
      <c r="L282" s="59"/>
      <c r="M282" s="57"/>
      <c r="N282" s="57"/>
      <c r="O282" s="60"/>
      <c r="P282" s="242"/>
      <c r="Q282" s="61"/>
      <c r="R282" s="142"/>
      <c r="S282" s="108"/>
      <c r="T282" s="107"/>
      <c r="W282" s="3"/>
    </row>
    <row r="283" spans="1:23" s="7" customFormat="1" x14ac:dyDescent="0.2">
      <c r="A283" s="141">
        <f>IF(J283&lt;&gt;"",1+MAX($A$18:A282),"")</f>
        <v>190</v>
      </c>
      <c r="B283" s="111" t="s">
        <v>817</v>
      </c>
      <c r="C283" s="111" t="s">
        <v>817</v>
      </c>
      <c r="D283" s="95" t="s">
        <v>738</v>
      </c>
      <c r="E283" s="183" t="s">
        <v>83</v>
      </c>
      <c r="F283" s="112" t="s">
        <v>919</v>
      </c>
      <c r="G283" s="115">
        <v>2</v>
      </c>
      <c r="H283" s="51">
        <f>IF(VLOOKUP(J283,'HOURLY RATES'!B$116:C$124,2,0)=0,$J$3,VLOOKUP(J283,'HOURLY RATES'!B$116:C$124,2,0))</f>
        <v>0</v>
      </c>
      <c r="I283" s="52">
        <f t="shared" ref="I283" si="271">(G283*(1+H283))</f>
        <v>2</v>
      </c>
      <c r="J283" s="94" t="s">
        <v>226</v>
      </c>
      <c r="K283" s="238">
        <v>0.62250000000000005</v>
      </c>
      <c r="L283" s="59">
        <f t="shared" ref="L283" si="272">K283*I283</f>
        <v>1.2450000000000001</v>
      </c>
      <c r="M283" s="57">
        <f>IF(VLOOKUP(E283,'HOURLY RATES'!C$6:D$105,2,0)=0,$E$3,VLOOKUP(E283,'HOURLY RATES'!C$6:D$105,2,0))</f>
        <v>73.944999999999993</v>
      </c>
      <c r="N283" s="57">
        <f t="shared" ref="N283" si="273">M283*L283</f>
        <v>92.061525000000003</v>
      </c>
      <c r="O283" s="60">
        <v>7.5</v>
      </c>
      <c r="P283" s="242">
        <f>O283*I283</f>
        <v>15</v>
      </c>
      <c r="Q283" s="61">
        <f t="shared" ref="Q283" si="274">P283+N283</f>
        <v>107.061525</v>
      </c>
      <c r="R283" s="142"/>
      <c r="S283" s="108">
        <f t="shared" ref="S283" si="275">((((N283*(1+$D$7))+(P283*(1+$D$5+$D$6)))*(1+$D$8)))/I283</f>
        <v>65.855372099999997</v>
      </c>
      <c r="T283" s="107">
        <f t="shared" ref="T283" si="276">S283*I283</f>
        <v>131.71074419999999</v>
      </c>
      <c r="W283" s="3"/>
    </row>
    <row r="284" spans="1:23" s="7" customFormat="1" x14ac:dyDescent="0.2">
      <c r="A284" s="141" t="str">
        <f>IF(J284&lt;&gt;"",1+MAX($A$18:A283),"")</f>
        <v/>
      </c>
      <c r="B284" s="111"/>
      <c r="C284" s="111"/>
      <c r="D284" s="95"/>
      <c r="E284" s="183"/>
      <c r="F284" s="112" t="s">
        <v>223</v>
      </c>
      <c r="G284" s="115"/>
      <c r="H284" s="51"/>
      <c r="I284" s="52"/>
      <c r="J284" s="94"/>
      <c r="K284" s="238"/>
      <c r="L284" s="59"/>
      <c r="M284" s="57"/>
      <c r="N284" s="57"/>
      <c r="O284" s="60"/>
      <c r="P284" s="242"/>
      <c r="Q284" s="61"/>
      <c r="R284" s="142"/>
      <c r="S284" s="108"/>
      <c r="T284" s="107"/>
      <c r="W284" s="3"/>
    </row>
    <row r="285" spans="1:23" s="7" customFormat="1" x14ac:dyDescent="0.2">
      <c r="A285" s="141" t="str">
        <f>IF(J285&lt;&gt;"",1+MAX($A$18:A284),"")</f>
        <v/>
      </c>
      <c r="B285" s="111"/>
      <c r="C285" s="111"/>
      <c r="D285" s="95"/>
      <c r="E285" s="183"/>
      <c r="F285" s="119" t="s">
        <v>770</v>
      </c>
      <c r="G285" s="115"/>
      <c r="H285" s="51"/>
      <c r="I285" s="52"/>
      <c r="J285" s="94"/>
      <c r="K285" s="238"/>
      <c r="L285" s="59"/>
      <c r="M285" s="57"/>
      <c r="N285" s="57"/>
      <c r="O285" s="60"/>
      <c r="P285" s="242"/>
      <c r="Q285" s="61"/>
      <c r="R285" s="142"/>
      <c r="S285" s="108"/>
      <c r="T285" s="107"/>
      <c r="W285" s="3"/>
    </row>
    <row r="286" spans="1:23" s="7" customFormat="1" x14ac:dyDescent="0.2">
      <c r="A286" s="141">
        <f>IF(J286&lt;&gt;"",1+MAX($A$18:A285),"")</f>
        <v>191</v>
      </c>
      <c r="B286" s="111" t="s">
        <v>817</v>
      </c>
      <c r="C286" s="111" t="s">
        <v>817</v>
      </c>
      <c r="D286" s="95" t="s">
        <v>738</v>
      </c>
      <c r="E286" s="183" t="s">
        <v>83</v>
      </c>
      <c r="F286" s="112" t="s">
        <v>799</v>
      </c>
      <c r="G286" s="115">
        <v>1</v>
      </c>
      <c r="H286" s="51">
        <f>IF(VLOOKUP(J286,'HOURLY RATES'!B$116:C$124,2,0)=0,$J$3,VLOOKUP(J286,'HOURLY RATES'!B$116:C$124,2,0))</f>
        <v>0</v>
      </c>
      <c r="I286" s="52">
        <f t="shared" ref="I286" si="277">(G286*(1+H286))</f>
        <v>1</v>
      </c>
      <c r="J286" s="94" t="s">
        <v>226</v>
      </c>
      <c r="K286" s="238">
        <v>4.2300000000000004</v>
      </c>
      <c r="L286" s="59">
        <f t="shared" ref="L286" si="278">K286*I286</f>
        <v>4.2300000000000004</v>
      </c>
      <c r="M286" s="57">
        <f>IF(VLOOKUP(E286,'HOURLY RATES'!C$6:D$105,2,0)=0,$E$3,VLOOKUP(E286,'HOURLY RATES'!C$6:D$105,2,0))</f>
        <v>73.944999999999993</v>
      </c>
      <c r="N286" s="57">
        <f t="shared" ref="N286" si="279">M286*L286</f>
        <v>312.78735</v>
      </c>
      <c r="O286" s="60">
        <v>180</v>
      </c>
      <c r="P286" s="242">
        <f t="shared" ref="P286:P300" si="280">O286*I286</f>
        <v>180</v>
      </c>
      <c r="Q286" s="61">
        <f t="shared" ref="Q286" si="281">P286+N286</f>
        <v>492.78735</v>
      </c>
      <c r="R286" s="142"/>
      <c r="S286" s="108">
        <f t="shared" ref="S286" si="282">((((N286*(1+$D$7))+(P286*(1+$D$5+$D$6)))*(1+$D$8)))/I286</f>
        <v>615.93267329999992</v>
      </c>
      <c r="T286" s="107">
        <f t="shared" ref="T286" si="283">S286*I286</f>
        <v>615.93267329999992</v>
      </c>
      <c r="W286" s="3"/>
    </row>
    <row r="287" spans="1:23" s="7" customFormat="1" x14ac:dyDescent="0.2">
      <c r="A287" s="141">
        <f>IF(J287&lt;&gt;"",1+MAX($A$18:A286),"")</f>
        <v>192</v>
      </c>
      <c r="B287" s="111" t="s">
        <v>817</v>
      </c>
      <c r="C287" s="111" t="s">
        <v>817</v>
      </c>
      <c r="D287" s="95" t="s">
        <v>738</v>
      </c>
      <c r="E287" s="183" t="s">
        <v>83</v>
      </c>
      <c r="F287" s="112" t="s">
        <v>800</v>
      </c>
      <c r="G287" s="115">
        <v>10</v>
      </c>
      <c r="H287" s="51">
        <f>IF(VLOOKUP(J287,'HOURLY RATES'!B$116:C$124,2,0)=0,$J$3,VLOOKUP(J287,'HOURLY RATES'!B$116:C$124,2,0))</f>
        <v>0</v>
      </c>
      <c r="I287" s="52">
        <f t="shared" ref="I287:I294" si="284">(G287*(1+H287))</f>
        <v>10</v>
      </c>
      <c r="J287" s="94" t="s">
        <v>226</v>
      </c>
      <c r="K287" s="238">
        <v>0.78849999999999998</v>
      </c>
      <c r="L287" s="59">
        <f>K287*I287</f>
        <v>7.8849999999999998</v>
      </c>
      <c r="M287" s="57">
        <f>IF(VLOOKUP(E287,'HOURLY RATES'!C$6:D$105,2,0)=0,$E$3,VLOOKUP(E287,'HOURLY RATES'!C$6:D$105,2,0))</f>
        <v>73.944999999999993</v>
      </c>
      <c r="N287" s="57">
        <f>M287*L287</f>
        <v>583.0563249999999</v>
      </c>
      <c r="O287" s="60">
        <v>9.5</v>
      </c>
      <c r="P287" s="242">
        <f t="shared" si="280"/>
        <v>95</v>
      </c>
      <c r="Q287" s="61">
        <f t="shared" ref="Q287:Q294" si="285">P287+N287</f>
        <v>678.0563249999999</v>
      </c>
      <c r="R287" s="142"/>
      <c r="S287" s="108">
        <f>((((N287*(1+$D$7))+(P287*(1+$D$5+$D$6)))*(1+$D$8)))/I287</f>
        <v>83.416804659999997</v>
      </c>
      <c r="T287" s="107">
        <f>S287*I287</f>
        <v>834.16804660000003</v>
      </c>
      <c r="W287" s="3"/>
    </row>
    <row r="288" spans="1:23" s="7" customFormat="1" x14ac:dyDescent="0.2">
      <c r="A288" s="141">
        <f>IF(J288&lt;&gt;"",1+MAX($A$18:A287),"")</f>
        <v>193</v>
      </c>
      <c r="B288" s="111" t="s">
        <v>817</v>
      </c>
      <c r="C288" s="111" t="s">
        <v>817</v>
      </c>
      <c r="D288" s="95" t="s">
        <v>738</v>
      </c>
      <c r="E288" s="183" t="s">
        <v>83</v>
      </c>
      <c r="F288" s="112" t="s">
        <v>920</v>
      </c>
      <c r="G288" s="115">
        <v>4</v>
      </c>
      <c r="H288" s="51">
        <f>IF(VLOOKUP(J288,'HOURLY RATES'!B$116:C$124,2,0)=0,$J$3,VLOOKUP(J288,'HOURLY RATES'!B$116:C$124,2,0))</f>
        <v>0</v>
      </c>
      <c r="I288" s="52">
        <f t="shared" si="284"/>
        <v>4</v>
      </c>
      <c r="J288" s="94" t="s">
        <v>226</v>
      </c>
      <c r="K288" s="238">
        <v>9.9599999999999994E-2</v>
      </c>
      <c r="L288" s="59">
        <f t="shared" ref="L288:L294" si="286">K288*I288</f>
        <v>0.39839999999999998</v>
      </c>
      <c r="M288" s="57">
        <f>IF(VLOOKUP(E288,'HOURLY RATES'!C$6:D$105,2,0)=0,$E$3,VLOOKUP(E288,'HOURLY RATES'!C$6:D$105,2,0))</f>
        <v>73.944999999999993</v>
      </c>
      <c r="N288" s="57">
        <f t="shared" ref="N288:N294" si="287">M288*L288</f>
        <v>29.459687999999996</v>
      </c>
      <c r="O288" s="60">
        <v>1.2000000000000002</v>
      </c>
      <c r="P288" s="242">
        <f t="shared" si="280"/>
        <v>4.8000000000000007</v>
      </c>
      <c r="Q288" s="61">
        <f t="shared" si="285"/>
        <v>34.259687999999997</v>
      </c>
      <c r="R288" s="142"/>
      <c r="S288" s="108">
        <f t="shared" ref="S288:S294" si="288">((((N288*(1+$D$7))+(P288*(1+$D$5+$D$6)))*(1+$D$8)))/I288</f>
        <v>10.536859535999998</v>
      </c>
      <c r="T288" s="107">
        <f t="shared" ref="T288:T294" si="289">S288*I288</f>
        <v>42.147438143999992</v>
      </c>
      <c r="W288" s="3"/>
    </row>
    <row r="289" spans="1:23" s="7" customFormat="1" x14ac:dyDescent="0.2">
      <c r="A289" s="141">
        <f>IF(J289&lt;&gt;"",1+MAX($A$18:A288),"")</f>
        <v>194</v>
      </c>
      <c r="B289" s="111" t="s">
        <v>817</v>
      </c>
      <c r="C289" s="111" t="s">
        <v>817</v>
      </c>
      <c r="D289" s="95" t="s">
        <v>738</v>
      </c>
      <c r="E289" s="183" t="s">
        <v>83</v>
      </c>
      <c r="F289" s="112" t="s">
        <v>801</v>
      </c>
      <c r="G289" s="115">
        <v>1</v>
      </c>
      <c r="H289" s="51">
        <f>IF(VLOOKUP(J289,'HOURLY RATES'!B$116:C$124,2,0)=0,$J$3,VLOOKUP(J289,'HOURLY RATES'!B$116:C$124,2,0))</f>
        <v>0</v>
      </c>
      <c r="I289" s="52">
        <f t="shared" si="284"/>
        <v>1</v>
      </c>
      <c r="J289" s="94" t="s">
        <v>226</v>
      </c>
      <c r="K289" s="238">
        <v>1.8260000000000001</v>
      </c>
      <c r="L289" s="59">
        <f t="shared" si="286"/>
        <v>1.8260000000000001</v>
      </c>
      <c r="M289" s="57">
        <f>IF(VLOOKUP(E289,'HOURLY RATES'!C$6:D$105,2,0)=0,$E$3,VLOOKUP(E289,'HOURLY RATES'!C$6:D$105,2,0))</f>
        <v>73.944999999999993</v>
      </c>
      <c r="N289" s="57">
        <f t="shared" si="287"/>
        <v>135.02357000000001</v>
      </c>
      <c r="O289" s="60">
        <v>22</v>
      </c>
      <c r="P289" s="242">
        <f t="shared" si="280"/>
        <v>22</v>
      </c>
      <c r="Q289" s="61">
        <f t="shared" si="285"/>
        <v>157.02357000000001</v>
      </c>
      <c r="R289" s="142"/>
      <c r="S289" s="108">
        <f t="shared" si="288"/>
        <v>193.17575816000002</v>
      </c>
      <c r="T289" s="107">
        <f t="shared" si="289"/>
        <v>193.17575816000002</v>
      </c>
      <c r="W289" s="3"/>
    </row>
    <row r="290" spans="1:23" s="7" customFormat="1" x14ac:dyDescent="0.2">
      <c r="A290" s="141">
        <f>IF(J290&lt;&gt;"",1+MAX($A$18:A289),"")</f>
        <v>195</v>
      </c>
      <c r="B290" s="111" t="s">
        <v>817</v>
      </c>
      <c r="C290" s="111" t="s">
        <v>817</v>
      </c>
      <c r="D290" s="95" t="s">
        <v>738</v>
      </c>
      <c r="E290" s="183" t="s">
        <v>83</v>
      </c>
      <c r="F290" s="112" t="s">
        <v>837</v>
      </c>
      <c r="G290" s="115">
        <v>1</v>
      </c>
      <c r="H290" s="51">
        <f>IF(VLOOKUP(J290,'HOURLY RATES'!B$116:C$124,2,0)=0,$J$3,VLOOKUP(J290,'HOURLY RATES'!B$116:C$124,2,0))</f>
        <v>0</v>
      </c>
      <c r="I290" s="52">
        <f t="shared" si="284"/>
        <v>1</v>
      </c>
      <c r="J290" s="94" t="s">
        <v>226</v>
      </c>
      <c r="K290" s="238">
        <v>1.494</v>
      </c>
      <c r="L290" s="59">
        <f t="shared" si="286"/>
        <v>1.494</v>
      </c>
      <c r="M290" s="57">
        <f>IF(VLOOKUP(E290,'HOURLY RATES'!C$6:D$105,2,0)=0,$E$3,VLOOKUP(E290,'HOURLY RATES'!C$6:D$105,2,0))</f>
        <v>73.944999999999993</v>
      </c>
      <c r="N290" s="57">
        <f t="shared" si="287"/>
        <v>110.47382999999999</v>
      </c>
      <c r="O290" s="60">
        <v>18</v>
      </c>
      <c r="P290" s="242">
        <f t="shared" si="280"/>
        <v>18</v>
      </c>
      <c r="Q290" s="61">
        <f t="shared" si="285"/>
        <v>128.47382999999999</v>
      </c>
      <c r="R290" s="142"/>
      <c r="S290" s="108">
        <f t="shared" si="288"/>
        <v>158.05289303999996</v>
      </c>
      <c r="T290" s="107">
        <f t="shared" si="289"/>
        <v>158.05289303999996</v>
      </c>
      <c r="W290" s="3"/>
    </row>
    <row r="291" spans="1:23" s="7" customFormat="1" x14ac:dyDescent="0.2">
      <c r="A291" s="141">
        <f>IF(J291&lt;&gt;"",1+MAX($A$18:A290),"")</f>
        <v>196</v>
      </c>
      <c r="B291" s="111" t="s">
        <v>817</v>
      </c>
      <c r="C291" s="111" t="s">
        <v>817</v>
      </c>
      <c r="D291" s="95" t="s">
        <v>738</v>
      </c>
      <c r="E291" s="183" t="s">
        <v>83</v>
      </c>
      <c r="F291" s="112" t="s">
        <v>831</v>
      </c>
      <c r="G291" s="115">
        <v>5</v>
      </c>
      <c r="H291" s="51">
        <f>IF(VLOOKUP(J291,'HOURLY RATES'!B$116:C$124,2,0)=0,$J$3,VLOOKUP(J291,'HOURLY RATES'!B$116:C$124,2,0))</f>
        <v>0</v>
      </c>
      <c r="I291" s="52">
        <f t="shared" ref="I291" si="290">(G291*(1+H291))</f>
        <v>5</v>
      </c>
      <c r="J291" s="94" t="s">
        <v>226</v>
      </c>
      <c r="K291" s="238">
        <v>2.407</v>
      </c>
      <c r="L291" s="59">
        <f t="shared" ref="L291" si="291">K291*I291</f>
        <v>12.035</v>
      </c>
      <c r="M291" s="57">
        <f>IF(VLOOKUP(E291,'HOURLY RATES'!C$6:D$105,2,0)=0,$E$3,VLOOKUP(E291,'HOURLY RATES'!C$6:D$105,2,0))</f>
        <v>73.944999999999993</v>
      </c>
      <c r="N291" s="57">
        <f t="shared" ref="N291" si="292">M291*L291</f>
        <v>889.92807499999992</v>
      </c>
      <c r="O291" s="60">
        <v>29</v>
      </c>
      <c r="P291" s="242">
        <f t="shared" si="280"/>
        <v>145</v>
      </c>
      <c r="Q291" s="61">
        <f t="shared" ref="Q291" si="293">P291+N291</f>
        <v>1034.9280749999998</v>
      </c>
      <c r="R291" s="142"/>
      <c r="S291" s="108">
        <f t="shared" ref="S291" si="294">((((N291*(1+$D$7))+(P291*(1+$D$5+$D$6)))*(1+$D$8)))/I291</f>
        <v>254.64077211999992</v>
      </c>
      <c r="T291" s="107">
        <f t="shared" ref="T291" si="295">S291*I291</f>
        <v>1273.2038605999996</v>
      </c>
      <c r="W291" s="3"/>
    </row>
    <row r="292" spans="1:23" s="7" customFormat="1" x14ac:dyDescent="0.2">
      <c r="A292" s="141">
        <f>IF(J292&lt;&gt;"",1+MAX($A$18:A291),"")</f>
        <v>197</v>
      </c>
      <c r="B292" s="111" t="s">
        <v>817</v>
      </c>
      <c r="C292" s="111" t="s">
        <v>817</v>
      </c>
      <c r="D292" s="95" t="s">
        <v>738</v>
      </c>
      <c r="E292" s="183" t="s">
        <v>83</v>
      </c>
      <c r="F292" s="112" t="s">
        <v>921</v>
      </c>
      <c r="G292" s="115">
        <v>5</v>
      </c>
      <c r="H292" s="51">
        <f>IF(VLOOKUP(J292,'HOURLY RATES'!B$116:C$124,2,0)=0,$J$3,VLOOKUP(J292,'HOURLY RATES'!B$116:C$124,2,0))</f>
        <v>0</v>
      </c>
      <c r="I292" s="52">
        <f t="shared" si="284"/>
        <v>5</v>
      </c>
      <c r="J292" s="94" t="s">
        <v>226</v>
      </c>
      <c r="K292" s="238">
        <v>2.988</v>
      </c>
      <c r="L292" s="59">
        <f t="shared" si="286"/>
        <v>14.94</v>
      </c>
      <c r="M292" s="57">
        <f>IF(VLOOKUP(E292,'HOURLY RATES'!C$6:D$105,2,0)=0,$E$3,VLOOKUP(E292,'HOURLY RATES'!C$6:D$105,2,0))</f>
        <v>73.944999999999993</v>
      </c>
      <c r="N292" s="57">
        <f t="shared" si="287"/>
        <v>1104.7382999999998</v>
      </c>
      <c r="O292" s="60">
        <v>36</v>
      </c>
      <c r="P292" s="242">
        <f t="shared" si="280"/>
        <v>180</v>
      </c>
      <c r="Q292" s="61">
        <f t="shared" si="285"/>
        <v>1284.7382999999998</v>
      </c>
      <c r="R292" s="142"/>
      <c r="S292" s="108">
        <f t="shared" si="288"/>
        <v>316.10578607999986</v>
      </c>
      <c r="T292" s="107">
        <f t="shared" si="289"/>
        <v>1580.5289303999994</v>
      </c>
      <c r="W292" s="3"/>
    </row>
    <row r="293" spans="1:23" s="7" customFormat="1" x14ac:dyDescent="0.2">
      <c r="A293" s="141">
        <f>IF(J293&lt;&gt;"",1+MAX($A$18:A292),"")</f>
        <v>198</v>
      </c>
      <c r="B293" s="111" t="s">
        <v>817</v>
      </c>
      <c r="C293" s="111" t="s">
        <v>817</v>
      </c>
      <c r="D293" s="95" t="s">
        <v>738</v>
      </c>
      <c r="E293" s="183" t="s">
        <v>83</v>
      </c>
      <c r="F293" s="112" t="s">
        <v>802</v>
      </c>
      <c r="G293" s="115">
        <v>3</v>
      </c>
      <c r="H293" s="51">
        <f>IF(VLOOKUP(J293,'HOURLY RATES'!B$116:C$124,2,0)=0,$J$3,VLOOKUP(J293,'HOURLY RATES'!B$116:C$124,2,0))</f>
        <v>0</v>
      </c>
      <c r="I293" s="52">
        <f t="shared" si="284"/>
        <v>3</v>
      </c>
      <c r="J293" s="94" t="s">
        <v>226</v>
      </c>
      <c r="K293" s="238">
        <v>0.70550000000000002</v>
      </c>
      <c r="L293" s="59">
        <f t="shared" si="286"/>
        <v>2.1165000000000003</v>
      </c>
      <c r="M293" s="57">
        <f>IF(VLOOKUP(E293,'HOURLY RATES'!C$6:D$105,2,0)=0,$E$3,VLOOKUP(E293,'HOURLY RATES'!C$6:D$105,2,0))</f>
        <v>73.944999999999993</v>
      </c>
      <c r="N293" s="57">
        <f t="shared" si="287"/>
        <v>156.5045925</v>
      </c>
      <c r="O293" s="60">
        <v>8.5</v>
      </c>
      <c r="P293" s="242">
        <f t="shared" si="280"/>
        <v>25.5</v>
      </c>
      <c r="Q293" s="61">
        <f t="shared" si="285"/>
        <v>182.0045925</v>
      </c>
      <c r="R293" s="142"/>
      <c r="S293" s="108">
        <f t="shared" si="288"/>
        <v>74.63608837999999</v>
      </c>
      <c r="T293" s="107">
        <f t="shared" si="289"/>
        <v>223.90826513999997</v>
      </c>
      <c r="W293" s="3"/>
    </row>
    <row r="294" spans="1:23" s="7" customFormat="1" x14ac:dyDescent="0.2">
      <c r="A294" s="141">
        <f>IF(J294&lt;&gt;"",1+MAX($A$18:A293),"")</f>
        <v>199</v>
      </c>
      <c r="B294" s="111" t="s">
        <v>817</v>
      </c>
      <c r="C294" s="111" t="s">
        <v>817</v>
      </c>
      <c r="D294" s="95" t="s">
        <v>738</v>
      </c>
      <c r="E294" s="183" t="s">
        <v>83</v>
      </c>
      <c r="F294" s="112" t="s">
        <v>803</v>
      </c>
      <c r="G294" s="115">
        <v>10</v>
      </c>
      <c r="H294" s="51">
        <f>IF(VLOOKUP(J294,'HOURLY RATES'!B$116:C$124,2,0)=0,$J$3,VLOOKUP(J294,'HOURLY RATES'!B$116:C$124,2,0))</f>
        <v>0</v>
      </c>
      <c r="I294" s="52">
        <f t="shared" si="284"/>
        <v>10</v>
      </c>
      <c r="J294" s="94" t="s">
        <v>226</v>
      </c>
      <c r="K294" s="238">
        <v>0.78849999999999998</v>
      </c>
      <c r="L294" s="59">
        <f t="shared" si="286"/>
        <v>7.8849999999999998</v>
      </c>
      <c r="M294" s="57">
        <f>IF(VLOOKUP(E294,'HOURLY RATES'!C$6:D$105,2,0)=0,$E$3,VLOOKUP(E294,'HOURLY RATES'!C$6:D$105,2,0))</f>
        <v>73.944999999999993</v>
      </c>
      <c r="N294" s="57">
        <f t="shared" si="287"/>
        <v>583.0563249999999</v>
      </c>
      <c r="O294" s="60">
        <v>9.5</v>
      </c>
      <c r="P294" s="242">
        <f t="shared" si="280"/>
        <v>95</v>
      </c>
      <c r="Q294" s="61">
        <f t="shared" si="285"/>
        <v>678.0563249999999</v>
      </c>
      <c r="R294" s="142"/>
      <c r="S294" s="108">
        <f t="shared" si="288"/>
        <v>83.416804659999997</v>
      </c>
      <c r="T294" s="107">
        <f t="shared" si="289"/>
        <v>834.16804660000003</v>
      </c>
      <c r="W294" s="3"/>
    </row>
    <row r="295" spans="1:23" s="7" customFormat="1" x14ac:dyDescent="0.2">
      <c r="A295" s="141">
        <f>IF(J295&lt;&gt;"",1+MAX($A$18:A294),"")</f>
        <v>200</v>
      </c>
      <c r="B295" s="111" t="s">
        <v>817</v>
      </c>
      <c r="C295" s="111" t="s">
        <v>817</v>
      </c>
      <c r="D295" s="95" t="s">
        <v>738</v>
      </c>
      <c r="E295" s="183" t="s">
        <v>83</v>
      </c>
      <c r="F295" s="112" t="s">
        <v>922</v>
      </c>
      <c r="G295" s="115">
        <v>1</v>
      </c>
      <c r="H295" s="51">
        <f>IF(VLOOKUP(J295,'HOURLY RATES'!B$116:C$124,2,0)=0,$J$3,VLOOKUP(J295,'HOURLY RATES'!B$116:C$124,2,0))</f>
        <v>0</v>
      </c>
      <c r="I295" s="52">
        <f t="shared" ref="I295:I300" si="296">(G295*(1+H295))</f>
        <v>1</v>
      </c>
      <c r="J295" s="94" t="s">
        <v>226</v>
      </c>
      <c r="K295" s="238">
        <v>2.6560000000000001</v>
      </c>
      <c r="L295" s="59">
        <f>K295*I295</f>
        <v>2.6560000000000001</v>
      </c>
      <c r="M295" s="57">
        <f>IF(VLOOKUP(E295,'HOURLY RATES'!C$6:D$105,2,0)=0,$E$3,VLOOKUP(E295,'HOURLY RATES'!C$6:D$105,2,0))</f>
        <v>73.944999999999993</v>
      </c>
      <c r="N295" s="57">
        <f>M295*L295</f>
        <v>196.39792</v>
      </c>
      <c r="O295" s="60">
        <v>32</v>
      </c>
      <c r="P295" s="242">
        <f t="shared" si="280"/>
        <v>32</v>
      </c>
      <c r="Q295" s="61">
        <f t="shared" ref="Q295:Q300" si="297">P295+N295</f>
        <v>228.39792</v>
      </c>
      <c r="R295" s="142"/>
      <c r="S295" s="108">
        <f>((((N295*(1+$D$7))+(P295*(1+$D$5+$D$6)))*(1+$D$8)))/I295</f>
        <v>280.98292096</v>
      </c>
      <c r="T295" s="107">
        <f>S295*I295</f>
        <v>280.98292096</v>
      </c>
      <c r="W295" s="3"/>
    </row>
    <row r="296" spans="1:23" s="7" customFormat="1" x14ac:dyDescent="0.2">
      <c r="A296" s="141">
        <f>IF(J296&lt;&gt;"",1+MAX($A$18:A295),"")</f>
        <v>201</v>
      </c>
      <c r="B296" s="111" t="s">
        <v>817</v>
      </c>
      <c r="C296" s="111" t="s">
        <v>817</v>
      </c>
      <c r="D296" s="95" t="s">
        <v>738</v>
      </c>
      <c r="E296" s="183" t="s">
        <v>83</v>
      </c>
      <c r="F296" s="112" t="s">
        <v>804</v>
      </c>
      <c r="G296" s="115">
        <v>2</v>
      </c>
      <c r="H296" s="51">
        <f>IF(VLOOKUP(J296,'HOURLY RATES'!B$116:C$124,2,0)=0,$J$3,VLOOKUP(J296,'HOURLY RATES'!B$116:C$124,2,0))</f>
        <v>0</v>
      </c>
      <c r="I296" s="52">
        <f t="shared" si="296"/>
        <v>2</v>
      </c>
      <c r="J296" s="94" t="s">
        <v>226</v>
      </c>
      <c r="K296" s="238">
        <v>1.8260000000000001</v>
      </c>
      <c r="L296" s="59">
        <f t="shared" ref="L296:L300" si="298">K296*I296</f>
        <v>3.6520000000000001</v>
      </c>
      <c r="M296" s="57">
        <f>IF(VLOOKUP(E296,'HOURLY RATES'!C$6:D$105,2,0)=0,$E$3,VLOOKUP(E296,'HOURLY RATES'!C$6:D$105,2,0))</f>
        <v>73.944999999999993</v>
      </c>
      <c r="N296" s="57">
        <f t="shared" ref="N296:N300" si="299">M296*L296</f>
        <v>270.04714000000001</v>
      </c>
      <c r="O296" s="60">
        <v>22</v>
      </c>
      <c r="P296" s="242">
        <f t="shared" si="280"/>
        <v>44</v>
      </c>
      <c r="Q296" s="61">
        <f t="shared" si="297"/>
        <v>314.04714000000001</v>
      </c>
      <c r="R296" s="142"/>
      <c r="S296" s="108">
        <f t="shared" ref="S296:S300" si="300">((((N296*(1+$D$7))+(P296*(1+$D$5+$D$6)))*(1+$D$8)))/I296</f>
        <v>193.17575816000002</v>
      </c>
      <c r="T296" s="107">
        <f t="shared" ref="T296:T300" si="301">S296*I296</f>
        <v>386.35151632000003</v>
      </c>
      <c r="W296" s="3"/>
    </row>
    <row r="297" spans="1:23" s="7" customFormat="1" x14ac:dyDescent="0.2">
      <c r="A297" s="141">
        <f>IF(J297&lt;&gt;"",1+MAX($A$18:A296),"")</f>
        <v>202</v>
      </c>
      <c r="B297" s="111" t="s">
        <v>817</v>
      </c>
      <c r="C297" s="111" t="s">
        <v>817</v>
      </c>
      <c r="D297" s="95" t="s">
        <v>738</v>
      </c>
      <c r="E297" s="183" t="s">
        <v>83</v>
      </c>
      <c r="F297" s="112" t="s">
        <v>805</v>
      </c>
      <c r="G297" s="115">
        <v>3</v>
      </c>
      <c r="H297" s="51">
        <f>IF(VLOOKUP(J297,'HOURLY RATES'!B$116:C$124,2,0)=0,$J$3,VLOOKUP(J297,'HOURLY RATES'!B$116:C$124,2,0))</f>
        <v>0</v>
      </c>
      <c r="I297" s="52">
        <f t="shared" si="296"/>
        <v>3</v>
      </c>
      <c r="J297" s="94" t="s">
        <v>226</v>
      </c>
      <c r="K297" s="238">
        <v>0.70550000000000002</v>
      </c>
      <c r="L297" s="59">
        <f t="shared" si="298"/>
        <v>2.1165000000000003</v>
      </c>
      <c r="M297" s="57">
        <f>IF(VLOOKUP(E297,'HOURLY RATES'!C$6:D$105,2,0)=0,$E$3,VLOOKUP(E297,'HOURLY RATES'!C$6:D$105,2,0))</f>
        <v>73.944999999999993</v>
      </c>
      <c r="N297" s="57">
        <f t="shared" si="299"/>
        <v>156.5045925</v>
      </c>
      <c r="O297" s="60">
        <v>8.5</v>
      </c>
      <c r="P297" s="242">
        <f t="shared" si="280"/>
        <v>25.5</v>
      </c>
      <c r="Q297" s="61">
        <f t="shared" si="297"/>
        <v>182.0045925</v>
      </c>
      <c r="R297" s="142"/>
      <c r="S297" s="108">
        <f t="shared" si="300"/>
        <v>74.63608837999999</v>
      </c>
      <c r="T297" s="107">
        <f t="shared" si="301"/>
        <v>223.90826513999997</v>
      </c>
      <c r="W297" s="3"/>
    </row>
    <row r="298" spans="1:23" s="7" customFormat="1" x14ac:dyDescent="0.2">
      <c r="A298" s="141">
        <f>IF(J298&lt;&gt;"",1+MAX($A$18:A297),"")</f>
        <v>203</v>
      </c>
      <c r="B298" s="111" t="s">
        <v>817</v>
      </c>
      <c r="C298" s="111" t="s">
        <v>817</v>
      </c>
      <c r="D298" s="95" t="s">
        <v>738</v>
      </c>
      <c r="E298" s="183" t="s">
        <v>83</v>
      </c>
      <c r="F298" s="112" t="s">
        <v>852</v>
      </c>
      <c r="G298" s="115">
        <v>2</v>
      </c>
      <c r="H298" s="51">
        <f>IF(VLOOKUP(J298,'HOURLY RATES'!B$116:C$124,2,0)=0,$J$3,VLOOKUP(J298,'HOURLY RATES'!B$116:C$124,2,0))</f>
        <v>0</v>
      </c>
      <c r="I298" s="52">
        <f t="shared" si="296"/>
        <v>2</v>
      </c>
      <c r="J298" s="94" t="s">
        <v>226</v>
      </c>
      <c r="K298" s="238">
        <v>0.78849999999999998</v>
      </c>
      <c r="L298" s="59">
        <f t="shared" si="298"/>
        <v>1.577</v>
      </c>
      <c r="M298" s="57">
        <f>IF(VLOOKUP(E298,'HOURLY RATES'!C$6:D$105,2,0)=0,$E$3,VLOOKUP(E298,'HOURLY RATES'!C$6:D$105,2,0))</f>
        <v>73.944999999999993</v>
      </c>
      <c r="N298" s="57">
        <f t="shared" si="299"/>
        <v>116.61126499999999</v>
      </c>
      <c r="O298" s="60">
        <v>9.5</v>
      </c>
      <c r="P298" s="242">
        <f t="shared" si="280"/>
        <v>19</v>
      </c>
      <c r="Q298" s="61">
        <f t="shared" si="297"/>
        <v>135.611265</v>
      </c>
      <c r="R298" s="142"/>
      <c r="S298" s="108">
        <f t="shared" si="300"/>
        <v>83.416804659999997</v>
      </c>
      <c r="T298" s="107">
        <f t="shared" si="301"/>
        <v>166.83360931999999</v>
      </c>
      <c r="W298" s="3"/>
    </row>
    <row r="299" spans="1:23" s="7" customFormat="1" x14ac:dyDescent="0.2">
      <c r="A299" s="141">
        <f>IF(J299&lt;&gt;"",1+MAX($A$18:A298),"")</f>
        <v>204</v>
      </c>
      <c r="B299" s="111" t="s">
        <v>817</v>
      </c>
      <c r="C299" s="111" t="s">
        <v>817</v>
      </c>
      <c r="D299" s="95" t="s">
        <v>738</v>
      </c>
      <c r="E299" s="183" t="s">
        <v>83</v>
      </c>
      <c r="F299" s="112" t="s">
        <v>806</v>
      </c>
      <c r="G299" s="115">
        <v>1</v>
      </c>
      <c r="H299" s="51">
        <f>IF(VLOOKUP(J299,'HOURLY RATES'!B$116:C$124,2,0)=0,$J$3,VLOOKUP(J299,'HOURLY RATES'!B$116:C$124,2,0))</f>
        <v>0</v>
      </c>
      <c r="I299" s="52">
        <f t="shared" si="296"/>
        <v>1</v>
      </c>
      <c r="J299" s="94" t="s">
        <v>226</v>
      </c>
      <c r="K299" s="238">
        <v>0.3735</v>
      </c>
      <c r="L299" s="59">
        <f t="shared" si="298"/>
        <v>0.3735</v>
      </c>
      <c r="M299" s="57">
        <f>IF(VLOOKUP(E299,'HOURLY RATES'!C$6:D$105,2,0)=0,$E$3,VLOOKUP(E299,'HOURLY RATES'!C$6:D$105,2,0))</f>
        <v>73.944999999999993</v>
      </c>
      <c r="N299" s="57">
        <f t="shared" si="299"/>
        <v>27.618457499999998</v>
      </c>
      <c r="O299" s="60">
        <v>4.5</v>
      </c>
      <c r="P299" s="242">
        <f t="shared" si="280"/>
        <v>4.5</v>
      </c>
      <c r="Q299" s="61">
        <f t="shared" si="297"/>
        <v>32.118457499999998</v>
      </c>
      <c r="R299" s="142"/>
      <c r="S299" s="108">
        <f t="shared" si="300"/>
        <v>39.51322325999999</v>
      </c>
      <c r="T299" s="107">
        <f t="shared" si="301"/>
        <v>39.51322325999999</v>
      </c>
      <c r="W299" s="3"/>
    </row>
    <row r="300" spans="1:23" s="7" customFormat="1" x14ac:dyDescent="0.2">
      <c r="A300" s="141">
        <f>IF(J300&lt;&gt;"",1+MAX($A$18:A299),"")</f>
        <v>205</v>
      </c>
      <c r="B300" s="111" t="s">
        <v>817</v>
      </c>
      <c r="C300" s="111" t="s">
        <v>817</v>
      </c>
      <c r="D300" s="95" t="s">
        <v>738</v>
      </c>
      <c r="E300" s="183" t="s">
        <v>83</v>
      </c>
      <c r="F300" s="112" t="s">
        <v>807</v>
      </c>
      <c r="G300" s="115">
        <v>2</v>
      </c>
      <c r="H300" s="51">
        <f>IF(VLOOKUP(J300,'HOURLY RATES'!B$116:C$124,2,0)=0,$J$3,VLOOKUP(J300,'HOURLY RATES'!B$116:C$124,2,0))</f>
        <v>0</v>
      </c>
      <c r="I300" s="52">
        <f t="shared" si="296"/>
        <v>2</v>
      </c>
      <c r="J300" s="94" t="s">
        <v>226</v>
      </c>
      <c r="K300" s="238">
        <v>2.9050000000000002</v>
      </c>
      <c r="L300" s="59">
        <f t="shared" si="298"/>
        <v>5.8100000000000005</v>
      </c>
      <c r="M300" s="57">
        <f>IF(VLOOKUP(E300,'HOURLY RATES'!C$6:D$105,2,0)=0,$E$3,VLOOKUP(E300,'HOURLY RATES'!C$6:D$105,2,0))</f>
        <v>73.944999999999993</v>
      </c>
      <c r="N300" s="57">
        <f t="shared" si="299"/>
        <v>429.62045000000001</v>
      </c>
      <c r="O300" s="60">
        <v>35</v>
      </c>
      <c r="P300" s="242">
        <f t="shared" si="280"/>
        <v>70</v>
      </c>
      <c r="Q300" s="61">
        <f t="shared" si="297"/>
        <v>499.62045000000001</v>
      </c>
      <c r="R300" s="142"/>
      <c r="S300" s="108">
        <f t="shared" si="300"/>
        <v>307.32506979999999</v>
      </c>
      <c r="T300" s="107">
        <f t="shared" si="301"/>
        <v>614.65013959999999</v>
      </c>
      <c r="W300" s="3"/>
    </row>
    <row r="301" spans="1:23" s="7" customFormat="1" ht="17.25" x14ac:dyDescent="0.2">
      <c r="A301" s="141" t="str">
        <f>IF(J301&lt;&gt;"",1+MAX($A$18:A300),"")</f>
        <v/>
      </c>
      <c r="B301" s="111"/>
      <c r="C301" s="114"/>
      <c r="D301" s="98"/>
      <c r="E301" s="184"/>
      <c r="F301" s="179" t="s">
        <v>223</v>
      </c>
      <c r="G301" s="113"/>
      <c r="H301" s="99"/>
      <c r="I301" s="100"/>
      <c r="J301" s="110"/>
      <c r="K301" s="244"/>
      <c r="L301" s="245"/>
      <c r="M301" s="246"/>
      <c r="N301" s="246"/>
      <c r="O301" s="60"/>
      <c r="P301" s="60"/>
      <c r="Q301" s="248"/>
      <c r="R301" s="109"/>
      <c r="S301" s="108"/>
      <c r="T301" s="107"/>
    </row>
    <row r="302" spans="1:23" s="7" customFormat="1" x14ac:dyDescent="0.2">
      <c r="A302" s="141" t="str">
        <f>IF(J302&lt;&gt;"",1+MAX($A$18:A301),"")</f>
        <v/>
      </c>
      <c r="B302" s="97"/>
      <c r="C302" s="101"/>
      <c r="D302" s="95"/>
      <c r="E302" s="183"/>
      <c r="F302" s="119" t="s">
        <v>717</v>
      </c>
      <c r="G302" s="96"/>
      <c r="H302" s="99"/>
      <c r="I302" s="100"/>
      <c r="J302" s="94"/>
      <c r="K302" s="239"/>
      <c r="L302" s="240"/>
      <c r="M302" s="241"/>
      <c r="N302" s="241"/>
      <c r="O302" s="242"/>
      <c r="P302" s="242"/>
      <c r="Q302" s="243"/>
      <c r="R302" s="109"/>
      <c r="S302" s="108"/>
      <c r="T302" s="107"/>
    </row>
    <row r="303" spans="1:23" s="7" customFormat="1" x14ac:dyDescent="0.2">
      <c r="A303" s="141">
        <f>IF(J303&lt;&gt;"",1+MAX($A$18:A302),"")</f>
        <v>206</v>
      </c>
      <c r="B303" s="111"/>
      <c r="C303" s="111"/>
      <c r="D303" s="95" t="s">
        <v>48</v>
      </c>
      <c r="E303" s="183" t="s">
        <v>82</v>
      </c>
      <c r="F303" s="112" t="s">
        <v>830</v>
      </c>
      <c r="G303" s="115">
        <v>1</v>
      </c>
      <c r="H303" s="51">
        <f>IF(VLOOKUP(J303,'HOURLY RATES'!B$116:C$124,2,0)=0,$J$3,VLOOKUP(J303,'HOURLY RATES'!B$116:C$124,2,0))</f>
        <v>0</v>
      </c>
      <c r="I303" s="52">
        <f t="shared" ref="I303" si="302">(G303*(1+H303))</f>
        <v>1</v>
      </c>
      <c r="J303" s="94" t="s">
        <v>226</v>
      </c>
      <c r="K303" s="238">
        <v>0.21199999999999999</v>
      </c>
      <c r="L303" s="59">
        <f t="shared" ref="L303" si="303">K303*I303</f>
        <v>0.21199999999999999</v>
      </c>
      <c r="M303" s="57">
        <f>IF(VLOOKUP(E303,'HOURLY RATES'!C$6:D$105,2,0)=0,$E$3,VLOOKUP(E303,'HOURLY RATES'!C$6:D$105,2,0))</f>
        <v>73.944999999999993</v>
      </c>
      <c r="N303" s="57">
        <f t="shared" ref="N303" si="304">M303*L303</f>
        <v>15.676339999999998</v>
      </c>
      <c r="O303" s="60">
        <v>28</v>
      </c>
      <c r="P303" s="242">
        <f>O303*I303</f>
        <v>28</v>
      </c>
      <c r="Q303" s="61">
        <f t="shared" ref="Q303" si="305">P303+N303</f>
        <v>43.676339999999996</v>
      </c>
      <c r="R303" s="142"/>
      <c r="S303" s="108">
        <f t="shared" ref="S303" si="306">((((N303*(1+$D$7))+(P303*(1+$D$5+$D$6)))*(1+$D$8)))/I303</f>
        <v>55.642754719999992</v>
      </c>
      <c r="T303" s="107">
        <f t="shared" ref="T303" si="307">S303*I303</f>
        <v>55.642754719999992</v>
      </c>
      <c r="W303" s="3"/>
    </row>
    <row r="304" spans="1:23" s="7" customFormat="1" x14ac:dyDescent="0.2">
      <c r="A304" s="141" t="str">
        <f>IF(J304&lt;&gt;"",1+MAX($A$18:A303),"")</f>
        <v/>
      </c>
      <c r="B304" s="97"/>
      <c r="C304" s="101"/>
      <c r="D304" s="95"/>
      <c r="E304" s="183"/>
      <c r="F304" s="217" t="s">
        <v>223</v>
      </c>
      <c r="G304" s="115"/>
      <c r="H304" s="51"/>
      <c r="I304" s="52"/>
      <c r="J304" s="94"/>
      <c r="K304" s="238"/>
      <c r="L304" s="59"/>
      <c r="M304" s="57"/>
      <c r="N304" s="57"/>
      <c r="O304" s="60"/>
      <c r="P304" s="60"/>
      <c r="Q304" s="61"/>
      <c r="R304" s="109"/>
      <c r="S304" s="108"/>
      <c r="T304" s="107"/>
    </row>
    <row r="305" spans="1:23" s="7" customFormat="1" ht="17.25" x14ac:dyDescent="0.2">
      <c r="A305" s="141" t="str">
        <f>IF(J305&lt;&gt;"",1+MAX($A$18:A304),"")</f>
        <v/>
      </c>
      <c r="B305" s="111"/>
      <c r="C305" s="114"/>
      <c r="D305" s="98"/>
      <c r="E305" s="184"/>
      <c r="F305" s="180" t="s">
        <v>726</v>
      </c>
      <c r="G305" s="96"/>
      <c r="H305" s="99"/>
      <c r="I305" s="100"/>
      <c r="J305" s="110"/>
      <c r="K305" s="244"/>
      <c r="L305" s="245"/>
      <c r="M305" s="246"/>
      <c r="N305" s="246"/>
      <c r="O305" s="60"/>
      <c r="P305" s="60"/>
      <c r="Q305" s="248"/>
      <c r="R305" s="109"/>
      <c r="S305" s="108"/>
      <c r="T305" s="107"/>
    </row>
    <row r="306" spans="1:23" s="7" customFormat="1" ht="17.25" x14ac:dyDescent="0.2">
      <c r="A306" s="141" t="str">
        <f>IF(J306&lt;&gt;"",1+MAX($A$18:A305),"")</f>
        <v/>
      </c>
      <c r="B306" s="111"/>
      <c r="C306" s="114"/>
      <c r="D306" s="98"/>
      <c r="E306" s="184"/>
      <c r="F306" s="181" t="s">
        <v>742</v>
      </c>
      <c r="G306" s="96"/>
      <c r="H306" s="99"/>
      <c r="I306" s="100"/>
      <c r="J306" s="110"/>
      <c r="K306" s="244"/>
      <c r="L306" s="245"/>
      <c r="M306" s="246"/>
      <c r="N306" s="246"/>
      <c r="O306" s="60"/>
      <c r="P306" s="60"/>
      <c r="Q306" s="248"/>
      <c r="R306" s="109"/>
      <c r="S306" s="108"/>
      <c r="T306" s="107"/>
    </row>
    <row r="307" spans="1:23" s="7" customFormat="1" x14ac:dyDescent="0.2">
      <c r="A307" s="141">
        <f>IF(J307&lt;&gt;"",1+MAX($A$18:A306),"")</f>
        <v>207</v>
      </c>
      <c r="B307" s="111"/>
      <c r="C307" s="111"/>
      <c r="D307" s="95" t="s">
        <v>738</v>
      </c>
      <c r="E307" s="183" t="s">
        <v>83</v>
      </c>
      <c r="F307" s="112" t="s">
        <v>828</v>
      </c>
      <c r="G307" s="115">
        <f>487*3</f>
        <v>1461</v>
      </c>
      <c r="H307" s="51">
        <f>IF(VLOOKUP(J307,'HOURLY RATES'!B$116:C$124,2,0)=0,$J$3,VLOOKUP(J307,'HOURLY RATES'!B$116:C$124,2,0))</f>
        <v>0.05</v>
      </c>
      <c r="I307" s="52">
        <f t="shared" ref="I307" si="308">(G307*(1+H307))</f>
        <v>1534.05</v>
      </c>
      <c r="J307" s="94" t="s">
        <v>225</v>
      </c>
      <c r="K307" s="238">
        <f>0.00615*2</f>
        <v>1.23E-2</v>
      </c>
      <c r="L307" s="59">
        <f>K307*I307</f>
        <v>18.868815000000001</v>
      </c>
      <c r="M307" s="57">
        <f>IF(VLOOKUP(E307,'HOURLY RATES'!C$6:D$105,2,0)=0,$E$3,VLOOKUP(E307,'HOURLY RATES'!C$6:D$105,2,0))</f>
        <v>73.944999999999993</v>
      </c>
      <c r="N307" s="57">
        <f>M307*L307</f>
        <v>1395.254525175</v>
      </c>
      <c r="O307" s="60">
        <f>0.143*2</f>
        <v>0.28599999999999998</v>
      </c>
      <c r="P307" s="242">
        <f t="shared" ref="P307:P310" si="309">O307*I307</f>
        <v>438.73829999999992</v>
      </c>
      <c r="Q307" s="61">
        <f t="shared" ref="Q307" si="310">P307+N307</f>
        <v>1833.992825175</v>
      </c>
      <c r="R307" s="142"/>
      <c r="S307" s="108">
        <f>((((N307*(1+$D$7))+(P307*(1+$D$5+$D$6)))*(1+$D$8)))/I307</f>
        <v>1.4811212717</v>
      </c>
      <c r="T307" s="107">
        <f>S307*I307</f>
        <v>2272.1140868513849</v>
      </c>
      <c r="W307" s="3"/>
    </row>
    <row r="308" spans="1:23" s="7" customFormat="1" x14ac:dyDescent="0.2">
      <c r="A308" s="141">
        <f>IF(J308&lt;&gt;"",1+MAX($A$18:A307),"")</f>
        <v>208</v>
      </c>
      <c r="B308" s="111"/>
      <c r="C308" s="111"/>
      <c r="D308" s="95" t="s">
        <v>738</v>
      </c>
      <c r="E308" s="183" t="s">
        <v>83</v>
      </c>
      <c r="F308" s="112" t="s">
        <v>812</v>
      </c>
      <c r="G308" s="115">
        <v>120</v>
      </c>
      <c r="H308" s="51">
        <f>IF(VLOOKUP(J308,'HOURLY RATES'!B$116:C$124,2,0)=0,$J$3,VLOOKUP(J308,'HOURLY RATES'!B$116:C$124,2,0))</f>
        <v>0.05</v>
      </c>
      <c r="I308" s="52">
        <f t="shared" ref="I308:I309" si="311">(G308*(1+H308))</f>
        <v>126</v>
      </c>
      <c r="J308" s="94" t="s">
        <v>225</v>
      </c>
      <c r="K308" s="238">
        <v>8.0000000000000002E-3</v>
      </c>
      <c r="L308" s="59">
        <f>K308*I308</f>
        <v>1.008</v>
      </c>
      <c r="M308" s="57">
        <f>IF(VLOOKUP(E308,'HOURLY RATES'!C$6:D$105,2,0)=0,$E$3,VLOOKUP(E308,'HOURLY RATES'!C$6:D$105,2,0))</f>
        <v>73.944999999999993</v>
      </c>
      <c r="N308" s="57">
        <f>M308*L308</f>
        <v>74.536559999999994</v>
      </c>
      <c r="O308" s="60">
        <v>0.25</v>
      </c>
      <c r="P308" s="242">
        <f t="shared" si="309"/>
        <v>31.5</v>
      </c>
      <c r="Q308" s="61">
        <f t="shared" ref="Q308:Q309" si="312">P308+N308</f>
        <v>106.03655999999999</v>
      </c>
      <c r="R308" s="142"/>
      <c r="S308" s="108">
        <f>((((N308*(1+$D$7))+(P308*(1+$D$5+$D$6)))*(1+$D$8)))/I308</f>
        <v>1.0468501924999998</v>
      </c>
      <c r="T308" s="107">
        <f>S308*I308</f>
        <v>131.90312425499997</v>
      </c>
      <c r="W308" s="3"/>
    </row>
    <row r="309" spans="1:23" s="7" customFormat="1" x14ac:dyDescent="0.2">
      <c r="A309" s="141">
        <f>IF(J309&lt;&gt;"",1+MAX($A$18:A308),"")</f>
        <v>209</v>
      </c>
      <c r="B309" s="111"/>
      <c r="C309" s="111"/>
      <c r="D309" s="95" t="s">
        <v>738</v>
      </c>
      <c r="E309" s="183" t="s">
        <v>83</v>
      </c>
      <c r="F309" s="112" t="s">
        <v>813</v>
      </c>
      <c r="G309" s="115">
        <f>18*3</f>
        <v>54</v>
      </c>
      <c r="H309" s="51">
        <f>IF(VLOOKUP(J309,'HOURLY RATES'!B$116:C$124,2,0)=0,$J$3,VLOOKUP(J309,'HOURLY RATES'!B$116:C$124,2,0))</f>
        <v>0.05</v>
      </c>
      <c r="I309" s="52">
        <f t="shared" si="311"/>
        <v>56.7</v>
      </c>
      <c r="J309" s="94" t="s">
        <v>225</v>
      </c>
      <c r="K309" s="238">
        <v>0.32</v>
      </c>
      <c r="L309" s="59">
        <f>K309*I309</f>
        <v>18.144000000000002</v>
      </c>
      <c r="M309" s="57">
        <f>IF(VLOOKUP(E309,'HOURLY RATES'!C$6:D$105,2,0)=0,$E$3,VLOOKUP(E309,'HOURLY RATES'!C$6:D$105,2,0))</f>
        <v>73.944999999999993</v>
      </c>
      <c r="N309" s="57">
        <f>M309*L309</f>
        <v>1341.6580799999999</v>
      </c>
      <c r="O309" s="60">
        <v>28.5</v>
      </c>
      <c r="P309" s="242">
        <f t="shared" si="309"/>
        <v>1615.95</v>
      </c>
      <c r="Q309" s="61">
        <f t="shared" si="312"/>
        <v>2957.60808</v>
      </c>
      <c r="R309" s="142"/>
      <c r="S309" s="108">
        <f>((((N309*(1+$D$7))+(P309*(1+$D$5+$D$6)))*(1+$D$8)))/I309</f>
        <v>66.02243602499999</v>
      </c>
      <c r="T309" s="107">
        <f>S309*I309</f>
        <v>3743.4721226174997</v>
      </c>
      <c r="W309" s="3"/>
    </row>
    <row r="310" spans="1:23" s="7" customFormat="1" x14ac:dyDescent="0.2">
      <c r="A310" s="141">
        <f>IF(J310&lt;&gt;"",1+MAX($A$18:A309),"")</f>
        <v>210</v>
      </c>
      <c r="B310" s="111"/>
      <c r="C310" s="111"/>
      <c r="D310" s="95" t="s">
        <v>738</v>
      </c>
      <c r="E310" s="183" t="s">
        <v>83</v>
      </c>
      <c r="F310" s="112" t="s">
        <v>923</v>
      </c>
      <c r="G310" s="115">
        <v>250</v>
      </c>
      <c r="H310" s="51">
        <f>IF(VLOOKUP(J310,'HOURLY RATES'!B$116:C$124,2,0)=0,$J$3,VLOOKUP(J310,'HOURLY RATES'!B$116:C$124,2,0))</f>
        <v>0.05</v>
      </c>
      <c r="I310" s="52">
        <f t="shared" ref="I310" si="313">(G310*(1+H310))</f>
        <v>262.5</v>
      </c>
      <c r="J310" s="94" t="s">
        <v>225</v>
      </c>
      <c r="K310" s="238">
        <v>8.0000000000000002E-3</v>
      </c>
      <c r="L310" s="59">
        <f>K310*I310</f>
        <v>2.1</v>
      </c>
      <c r="M310" s="57">
        <f>IF(VLOOKUP(E310,'HOURLY RATES'!C$6:D$105,2,0)=0,$E$3,VLOOKUP(E310,'HOURLY RATES'!C$6:D$105,2,0))</f>
        <v>73.944999999999993</v>
      </c>
      <c r="N310" s="57">
        <f>M310*L310</f>
        <v>155.28449999999998</v>
      </c>
      <c r="O310" s="60">
        <v>0.25</v>
      </c>
      <c r="P310" s="242">
        <f t="shared" si="309"/>
        <v>65.625</v>
      </c>
      <c r="Q310" s="61">
        <f t="shared" ref="Q310" si="314">P310+N310</f>
        <v>220.90949999999998</v>
      </c>
      <c r="R310" s="142"/>
      <c r="S310" s="108">
        <f>((((N310*(1+$D$7))+(P310*(1+$D$5+$D$6)))*(1+$D$8)))/I310</f>
        <v>1.0468501924999998</v>
      </c>
      <c r="T310" s="107">
        <f>S310*I310</f>
        <v>274.79817553124997</v>
      </c>
      <c r="W310" s="3"/>
    </row>
    <row r="311" spans="1:23" s="7" customFormat="1" x14ac:dyDescent="0.2">
      <c r="A311" s="141" t="str">
        <f>IF(J311&lt;&gt;"",1+MAX($A$18:A310),"")</f>
        <v/>
      </c>
      <c r="B311" s="111"/>
      <c r="C311" s="111"/>
      <c r="D311" s="95"/>
      <c r="E311" s="183"/>
      <c r="F311" s="112" t="s">
        <v>223</v>
      </c>
      <c r="G311" s="115"/>
      <c r="H311" s="51"/>
      <c r="I311" s="52"/>
      <c r="J311" s="94"/>
      <c r="K311" s="238"/>
      <c r="L311" s="59"/>
      <c r="M311" s="57"/>
      <c r="N311" s="57"/>
      <c r="O311" s="60"/>
      <c r="P311" s="242"/>
      <c r="Q311" s="61"/>
      <c r="R311" s="142"/>
      <c r="S311" s="108"/>
      <c r="T311" s="107"/>
      <c r="W311" s="3"/>
    </row>
    <row r="312" spans="1:23" s="7" customFormat="1" x14ac:dyDescent="0.2">
      <c r="A312" s="141">
        <f>IF(J312&lt;&gt;"",1+MAX($A$18:A311),"")</f>
        <v>211</v>
      </c>
      <c r="B312" s="111"/>
      <c r="C312" s="111"/>
      <c r="D312" s="95" t="s">
        <v>738</v>
      </c>
      <c r="E312" s="183" t="s">
        <v>83</v>
      </c>
      <c r="F312" s="112" t="s">
        <v>924</v>
      </c>
      <c r="G312" s="115">
        <v>120</v>
      </c>
      <c r="H312" s="51">
        <f>IF(VLOOKUP(J312,'HOURLY RATES'!B$116:C$124,2,0)=0,$J$3,VLOOKUP(J312,'HOURLY RATES'!B$116:C$124,2,0))</f>
        <v>0.05</v>
      </c>
      <c r="I312" s="52">
        <f t="shared" ref="I312" si="315">(G312*(1+H312))</f>
        <v>126</v>
      </c>
      <c r="J312" s="94" t="s">
        <v>225</v>
      </c>
      <c r="K312" s="238">
        <v>0.114</v>
      </c>
      <c r="L312" s="59">
        <f>K312*I312</f>
        <v>14.364000000000001</v>
      </c>
      <c r="M312" s="57">
        <f>IF(VLOOKUP(E312,'HOURLY RATES'!C$6:D$105,2,0)=0,$E$3,VLOOKUP(E312,'HOURLY RATES'!C$6:D$105,2,0))</f>
        <v>73.944999999999993</v>
      </c>
      <c r="N312" s="57">
        <f>M312*L312</f>
        <v>1062.14598</v>
      </c>
      <c r="O312" s="60">
        <v>2.7</v>
      </c>
      <c r="P312" s="242">
        <f t="shared" ref="P312:P314" si="316">O312*I312</f>
        <v>340.20000000000005</v>
      </c>
      <c r="Q312" s="61">
        <f t="shared" ref="Q312" si="317">P312+N312</f>
        <v>1402.3459800000001</v>
      </c>
      <c r="R312" s="142"/>
      <c r="S312" s="108">
        <f>((((N312*(1+$D$7))+(P312*(1+$D$5+$D$6)))*(1+$D$8)))/I312</f>
        <v>13.791776355</v>
      </c>
      <c r="T312" s="107">
        <f>S312*I312</f>
        <v>1737.7638207299999</v>
      </c>
      <c r="W312" s="3"/>
    </row>
    <row r="313" spans="1:23" s="7" customFormat="1" x14ac:dyDescent="0.2">
      <c r="A313" s="141">
        <f>IF(J313&lt;&gt;"",1+MAX($A$18:A312),"")</f>
        <v>212</v>
      </c>
      <c r="B313" s="111"/>
      <c r="C313" s="111"/>
      <c r="D313" s="95" t="s">
        <v>738</v>
      </c>
      <c r="E313" s="183" t="s">
        <v>83</v>
      </c>
      <c r="F313" s="112" t="s">
        <v>809</v>
      </c>
      <c r="G313" s="115">
        <v>200</v>
      </c>
      <c r="H313" s="51">
        <f>IF(VLOOKUP(J313,'HOURLY RATES'!B$116:C$124,2,0)=0,$J$3,VLOOKUP(J313,'HOURLY RATES'!B$116:C$124,2,0))</f>
        <v>0.05</v>
      </c>
      <c r="I313" s="52">
        <f t="shared" ref="I313" si="318">(G313*(1+H313))</f>
        <v>210</v>
      </c>
      <c r="J313" s="94" t="s">
        <v>225</v>
      </c>
      <c r="K313" s="238">
        <v>0.08</v>
      </c>
      <c r="L313" s="59">
        <f>K313*I313</f>
        <v>16.8</v>
      </c>
      <c r="M313" s="57">
        <f>IF(VLOOKUP(E313,'HOURLY RATES'!C$6:D$105,2,0)=0,$E$3,VLOOKUP(E313,'HOURLY RATES'!C$6:D$105,2,0))</f>
        <v>73.944999999999993</v>
      </c>
      <c r="N313" s="57">
        <f>M313*L313</f>
        <v>1242.2759999999998</v>
      </c>
      <c r="O313" s="60">
        <v>4.83</v>
      </c>
      <c r="P313" s="242">
        <f t="shared" si="316"/>
        <v>1014.3000000000001</v>
      </c>
      <c r="Q313" s="61">
        <f t="shared" ref="Q313" si="319">P313+N313</f>
        <v>2256.576</v>
      </c>
      <c r="R313" s="142"/>
      <c r="S313" s="108">
        <f>((((N313*(1+$D$7))+(P313*(1+$D$5+$D$6)))*(1+$D$8)))/I313</f>
        <v>13.509898573499996</v>
      </c>
      <c r="T313" s="107">
        <f>S313*I313</f>
        <v>2837.0787004349991</v>
      </c>
      <c r="W313" s="3"/>
    </row>
    <row r="314" spans="1:23" s="7" customFormat="1" x14ac:dyDescent="0.2">
      <c r="A314" s="141">
        <f>IF(J314&lt;&gt;"",1+MAX($A$18:A313),"")</f>
        <v>213</v>
      </c>
      <c r="B314" s="111"/>
      <c r="C314" s="111"/>
      <c r="D314" s="95" t="s">
        <v>738</v>
      </c>
      <c r="E314" s="183" t="s">
        <v>83</v>
      </c>
      <c r="F314" s="112" t="s">
        <v>764</v>
      </c>
      <c r="G314" s="115">
        <v>487</v>
      </c>
      <c r="H314" s="51">
        <f>IF(VLOOKUP(J314,'HOURLY RATES'!B$116:C$124,2,0)=0,$J$3,VLOOKUP(J314,'HOURLY RATES'!B$116:C$124,2,0))</f>
        <v>0.05</v>
      </c>
      <c r="I314" s="52">
        <f t="shared" ref="I314:I319" si="320">(G314*(1+H314))</f>
        <v>511.35</v>
      </c>
      <c r="J314" s="94" t="s">
        <v>225</v>
      </c>
      <c r="K314" s="238">
        <v>6.2E-2</v>
      </c>
      <c r="L314" s="59">
        <f>K314*I314</f>
        <v>31.703700000000001</v>
      </c>
      <c r="M314" s="57">
        <f>IF(VLOOKUP(E314,'HOURLY RATES'!C$6:D$105,2,0)=0,$E$3,VLOOKUP(E314,'HOURLY RATES'!C$6:D$105,2,0))</f>
        <v>73.944999999999993</v>
      </c>
      <c r="N314" s="57">
        <f>M314*L314</f>
        <v>2344.3300964999999</v>
      </c>
      <c r="O314" s="60">
        <v>1.7</v>
      </c>
      <c r="P314" s="242">
        <f t="shared" si="316"/>
        <v>869.29500000000007</v>
      </c>
      <c r="Q314" s="61">
        <f t="shared" ref="Q314" si="321">P314+N314</f>
        <v>3213.6250964999999</v>
      </c>
      <c r="R314" s="142"/>
      <c r="S314" s="108">
        <f>((((N314*(1+$D$7))+(P314*(1+$D$5+$D$6)))*(1+$D$8)))/I314</f>
        <v>7.8030753849999996</v>
      </c>
      <c r="T314" s="107">
        <f>S314*I314</f>
        <v>3990.1025981197499</v>
      </c>
      <c r="W314" s="3"/>
    </row>
    <row r="315" spans="1:23" s="7" customFormat="1" ht="17.25" x14ac:dyDescent="0.2">
      <c r="A315" s="141">
        <f>IF(J315&lt;&gt;"",1+MAX($A$18:A314),"")</f>
        <v>214</v>
      </c>
      <c r="B315" s="111"/>
      <c r="C315" s="111"/>
      <c r="D315" s="98"/>
      <c r="E315" s="184"/>
      <c r="F315" s="278" t="s">
        <v>846</v>
      </c>
      <c r="G315" s="96">
        <f>ROUNDUP(G314*8%,0)</f>
        <v>39</v>
      </c>
      <c r="H315" s="51">
        <f>IF(VLOOKUP(J315,'HOURLY RATES'!B$116:C$124,2,0)=0,$J$3,VLOOKUP(J315,'HOURLY RATES'!B$116:C$124,2,0))</f>
        <v>0</v>
      </c>
      <c r="I315" s="52">
        <f t="shared" si="320"/>
        <v>39</v>
      </c>
      <c r="J315" s="94" t="s">
        <v>226</v>
      </c>
      <c r="K315" s="244"/>
      <c r="L315" s="245"/>
      <c r="M315" s="246"/>
      <c r="N315" s="246"/>
      <c r="O315" s="247"/>
      <c r="P315" s="247"/>
      <c r="Q315" s="248"/>
      <c r="R315" s="109"/>
      <c r="S315" s="108"/>
      <c r="T315" s="107"/>
      <c r="W315" s="3"/>
    </row>
    <row r="316" spans="1:23" s="7" customFormat="1" ht="17.25" x14ac:dyDescent="0.2">
      <c r="A316" s="141">
        <f>IF(J316&lt;&gt;"",1+MAX($A$18:A315),"")</f>
        <v>215</v>
      </c>
      <c r="B316" s="111"/>
      <c r="C316" s="111"/>
      <c r="D316" s="98"/>
      <c r="E316" s="184"/>
      <c r="F316" s="117" t="s">
        <v>729</v>
      </c>
      <c r="G316" s="96">
        <f>ROUNDUP(G314/10,0)</f>
        <v>49</v>
      </c>
      <c r="H316" s="51">
        <f>IF(VLOOKUP(J316,'HOURLY RATES'!B$116:C$124,2,0)=0,$J$3,VLOOKUP(J316,'HOURLY RATES'!B$116:C$124,2,0))</f>
        <v>0</v>
      </c>
      <c r="I316" s="52">
        <f t="shared" si="320"/>
        <v>49</v>
      </c>
      <c r="J316" s="94" t="s">
        <v>226</v>
      </c>
      <c r="K316" s="244"/>
      <c r="L316" s="245"/>
      <c r="M316" s="246"/>
      <c r="N316" s="246"/>
      <c r="O316" s="247"/>
      <c r="P316" s="247"/>
      <c r="Q316" s="248"/>
      <c r="R316" s="109"/>
      <c r="S316" s="108"/>
      <c r="T316" s="107"/>
      <c r="W316" s="3"/>
    </row>
    <row r="317" spans="1:23" s="7" customFormat="1" ht="17.25" x14ac:dyDescent="0.2">
      <c r="A317" s="141">
        <f>IF(J317&lt;&gt;"",1+MAX($A$18:A316),"")</f>
        <v>216</v>
      </c>
      <c r="B317" s="111"/>
      <c r="C317" s="111"/>
      <c r="D317" s="98"/>
      <c r="E317" s="184"/>
      <c r="F317" s="117" t="s">
        <v>730</v>
      </c>
      <c r="G317" s="96">
        <f>ROUNDUP(G314/9.2,0)+ROUNDUP(G314*4%,0)</f>
        <v>73</v>
      </c>
      <c r="H317" s="51">
        <f>IF(VLOOKUP(J317,'HOURLY RATES'!B$116:C$124,2,0)=0,$J$3,VLOOKUP(J317,'HOURLY RATES'!B$116:C$124,2,0))</f>
        <v>0</v>
      </c>
      <c r="I317" s="52">
        <f t="shared" si="320"/>
        <v>73</v>
      </c>
      <c r="J317" s="94" t="s">
        <v>226</v>
      </c>
      <c r="K317" s="244"/>
      <c r="L317" s="245"/>
      <c r="M317" s="246"/>
      <c r="N317" s="246"/>
      <c r="O317" s="247"/>
      <c r="P317" s="247"/>
      <c r="Q317" s="248"/>
      <c r="R317" s="109"/>
      <c r="S317" s="108"/>
      <c r="T317" s="107"/>
      <c r="W317" s="3"/>
    </row>
    <row r="318" spans="1:23" s="7" customFormat="1" ht="17.25" x14ac:dyDescent="0.2">
      <c r="A318" s="141">
        <f>IF(J318&lt;&gt;"",1+MAX($A$18:A317),"")</f>
        <v>217</v>
      </c>
      <c r="B318" s="111"/>
      <c r="C318" s="111"/>
      <c r="D318" s="98"/>
      <c r="E318" s="184"/>
      <c r="F318" s="117" t="s">
        <v>731</v>
      </c>
      <c r="G318" s="96">
        <f>ROUNDUP(G314/9.2,0)+ROUNDUP(G314*9%,0)</f>
        <v>97</v>
      </c>
      <c r="H318" s="51">
        <f>IF(VLOOKUP(J318,'HOURLY RATES'!B$116:C$124,2,0)=0,$J$3,VLOOKUP(J318,'HOURLY RATES'!B$116:C$124,2,0))</f>
        <v>0</v>
      </c>
      <c r="I318" s="52">
        <f t="shared" si="320"/>
        <v>97</v>
      </c>
      <c r="J318" s="94" t="s">
        <v>226</v>
      </c>
      <c r="K318" s="244"/>
      <c r="L318" s="245"/>
      <c r="M318" s="246"/>
      <c r="N318" s="246"/>
      <c r="O318" s="247"/>
      <c r="P318" s="247"/>
      <c r="Q318" s="248"/>
      <c r="R318" s="109"/>
      <c r="S318" s="108"/>
      <c r="T318" s="107"/>
      <c r="W318" s="3"/>
    </row>
    <row r="319" spans="1:23" s="7" customFormat="1" ht="17.25" x14ac:dyDescent="0.2">
      <c r="A319" s="141">
        <f>IF(J319&lt;&gt;"",1+MAX($A$18:A318),"")</f>
        <v>218</v>
      </c>
      <c r="B319" s="111"/>
      <c r="C319" s="111"/>
      <c r="D319" s="98"/>
      <c r="E319" s="184"/>
      <c r="F319" s="117" t="s">
        <v>732</v>
      </c>
      <c r="G319" s="96">
        <f>ROUNDUP(G314/9.2,0)+ROUNDUP(G314*9%,0)</f>
        <v>97</v>
      </c>
      <c r="H319" s="51">
        <f>IF(VLOOKUP(J319,'HOURLY RATES'!B$116:C$124,2,0)=0,$J$3,VLOOKUP(J319,'HOURLY RATES'!B$116:C$124,2,0))</f>
        <v>0</v>
      </c>
      <c r="I319" s="52">
        <f t="shared" si="320"/>
        <v>97</v>
      </c>
      <c r="J319" s="94" t="s">
        <v>226</v>
      </c>
      <c r="K319" s="244"/>
      <c r="L319" s="245"/>
      <c r="M319" s="246"/>
      <c r="N319" s="246"/>
      <c r="O319" s="247"/>
      <c r="P319" s="247"/>
      <c r="Q319" s="248"/>
      <c r="R319" s="109"/>
      <c r="S319" s="108"/>
      <c r="T319" s="107"/>
      <c r="W319" s="3"/>
    </row>
    <row r="320" spans="1:23" s="7" customFormat="1" ht="17.25" x14ac:dyDescent="0.2">
      <c r="A320" s="141" t="str">
        <f>IF(J320&lt;&gt;"",1+MAX($A$18:A319),"")</f>
        <v/>
      </c>
      <c r="B320" s="111"/>
      <c r="C320" s="111"/>
      <c r="D320" s="98"/>
      <c r="E320" s="184"/>
      <c r="F320" s="112" t="s">
        <v>223</v>
      </c>
      <c r="G320" s="115"/>
      <c r="H320" s="116"/>
      <c r="I320" s="100"/>
      <c r="J320" s="110"/>
      <c r="K320" s="244"/>
      <c r="L320" s="245"/>
      <c r="M320" s="246"/>
      <c r="N320" s="246"/>
      <c r="O320" s="247"/>
      <c r="P320" s="247"/>
      <c r="Q320" s="248"/>
      <c r="R320" s="109"/>
      <c r="S320" s="108"/>
      <c r="T320" s="107"/>
      <c r="W320" s="3"/>
    </row>
    <row r="321" spans="1:23" s="7" customFormat="1" x14ac:dyDescent="0.2">
      <c r="A321" s="141">
        <f>IF(J321&lt;&gt;"",1+MAX($A$18:A320),"")</f>
        <v>219</v>
      </c>
      <c r="B321" s="111"/>
      <c r="C321" s="111"/>
      <c r="D321" s="95" t="s">
        <v>738</v>
      </c>
      <c r="E321" s="183" t="s">
        <v>83</v>
      </c>
      <c r="F321" s="112" t="s">
        <v>808</v>
      </c>
      <c r="G321" s="115">
        <v>203</v>
      </c>
      <c r="H321" s="51">
        <f>IF(VLOOKUP(J321,'HOURLY RATES'!B$116:C$124,2,0)=0,$J$3,VLOOKUP(J321,'HOURLY RATES'!B$116:C$124,2,0))</f>
        <v>0.05</v>
      </c>
      <c r="I321" s="52">
        <f t="shared" ref="I321:I326" si="322">(G321*(1+H321))</f>
        <v>213.15</v>
      </c>
      <c r="J321" s="94" t="s">
        <v>225</v>
      </c>
      <c r="K321" s="238">
        <v>7.0000000000000007E-2</v>
      </c>
      <c r="L321" s="59">
        <f>K321*I321</f>
        <v>14.920500000000002</v>
      </c>
      <c r="M321" s="57">
        <f>IF(VLOOKUP(E321,'HOURLY RATES'!C$6:D$105,2,0)=0,$E$3,VLOOKUP(E321,'HOURLY RATES'!C$6:D$105,2,0))</f>
        <v>73.944999999999993</v>
      </c>
      <c r="N321" s="57">
        <f>M321*L321</f>
        <v>1103.2963725</v>
      </c>
      <c r="O321" s="60">
        <v>3.11</v>
      </c>
      <c r="P321" s="242">
        <f>O321*I321</f>
        <v>662.89649999999995</v>
      </c>
      <c r="Q321" s="61">
        <f t="shared" ref="Q321" si="323">P321+N321</f>
        <v>1766.1928724999998</v>
      </c>
      <c r="R321" s="142"/>
      <c r="S321" s="108">
        <f>((((N321*(1+$D$7))+(P321*(1+$D$5+$D$6)))*(1+$D$8)))/I321</f>
        <v>10.364097299499999</v>
      </c>
      <c r="T321" s="107">
        <f>S321*I321</f>
        <v>2209.1073393884249</v>
      </c>
      <c r="W321" s="3"/>
    </row>
    <row r="322" spans="1:23" s="7" customFormat="1" ht="17.25" x14ac:dyDescent="0.2">
      <c r="A322" s="141">
        <f>IF(J322&lt;&gt;"",1+MAX($A$18:A321),"")</f>
        <v>220</v>
      </c>
      <c r="B322" s="111"/>
      <c r="C322" s="111"/>
      <c r="D322" s="98"/>
      <c r="E322" s="184"/>
      <c r="F322" s="278" t="s">
        <v>847</v>
      </c>
      <c r="G322" s="96">
        <f>ROUNDUP(G321*8%,0)</f>
        <v>17</v>
      </c>
      <c r="H322" s="51">
        <f>IF(VLOOKUP(J322,'HOURLY RATES'!B$116:C$124,2,0)=0,$J$3,VLOOKUP(J322,'HOURLY RATES'!B$116:C$124,2,0))</f>
        <v>0</v>
      </c>
      <c r="I322" s="52">
        <f t="shared" si="322"/>
        <v>17</v>
      </c>
      <c r="J322" s="94" t="s">
        <v>226</v>
      </c>
      <c r="K322" s="244"/>
      <c r="L322" s="245"/>
      <c r="M322" s="246"/>
      <c r="N322" s="246"/>
      <c r="O322" s="247"/>
      <c r="P322" s="247"/>
      <c r="Q322" s="248"/>
      <c r="R322" s="109"/>
      <c r="S322" s="108"/>
      <c r="T322" s="107"/>
      <c r="W322" s="3"/>
    </row>
    <row r="323" spans="1:23" s="7" customFormat="1" ht="17.25" x14ac:dyDescent="0.2">
      <c r="A323" s="141">
        <f>IF(J323&lt;&gt;"",1+MAX($A$18:A322),"")</f>
        <v>221</v>
      </c>
      <c r="B323" s="111"/>
      <c r="C323" s="111"/>
      <c r="D323" s="98"/>
      <c r="E323" s="184"/>
      <c r="F323" s="117" t="s">
        <v>761</v>
      </c>
      <c r="G323" s="96">
        <f>ROUNDUP(G321/10,0)</f>
        <v>21</v>
      </c>
      <c r="H323" s="51">
        <f>IF(VLOOKUP(J323,'HOURLY RATES'!B$116:C$124,2,0)=0,$J$3,VLOOKUP(J323,'HOURLY RATES'!B$116:C$124,2,0))</f>
        <v>0</v>
      </c>
      <c r="I323" s="52">
        <f t="shared" si="322"/>
        <v>21</v>
      </c>
      <c r="J323" s="94" t="s">
        <v>226</v>
      </c>
      <c r="K323" s="244"/>
      <c r="L323" s="245"/>
      <c r="M323" s="246"/>
      <c r="N323" s="246"/>
      <c r="O323" s="247"/>
      <c r="P323" s="247"/>
      <c r="Q323" s="248"/>
      <c r="R323" s="109"/>
      <c r="S323" s="108"/>
      <c r="T323" s="107"/>
      <c r="W323" s="3"/>
    </row>
    <row r="324" spans="1:23" s="7" customFormat="1" ht="17.25" x14ac:dyDescent="0.2">
      <c r="A324" s="141">
        <f>IF(J324&lt;&gt;"",1+MAX($A$18:A323),"")</f>
        <v>222</v>
      </c>
      <c r="B324" s="111"/>
      <c r="C324" s="111"/>
      <c r="D324" s="98"/>
      <c r="E324" s="184"/>
      <c r="F324" s="117" t="s">
        <v>762</v>
      </c>
      <c r="G324" s="96">
        <f>ROUNDUP(G321/9.2,0)+ROUNDUP(G321*4%,0)</f>
        <v>32</v>
      </c>
      <c r="H324" s="51">
        <f>IF(VLOOKUP(J324,'HOURLY RATES'!B$116:C$124,2,0)=0,$J$3,VLOOKUP(J324,'HOURLY RATES'!B$116:C$124,2,0))</f>
        <v>0</v>
      </c>
      <c r="I324" s="52">
        <f t="shared" si="322"/>
        <v>32</v>
      </c>
      <c r="J324" s="94" t="s">
        <v>226</v>
      </c>
      <c r="K324" s="244"/>
      <c r="L324" s="245"/>
      <c r="M324" s="246"/>
      <c r="N324" s="246"/>
      <c r="O324" s="247"/>
      <c r="P324" s="247"/>
      <c r="Q324" s="248"/>
      <c r="R324" s="109"/>
      <c r="S324" s="108"/>
      <c r="T324" s="107"/>
      <c r="W324" s="3"/>
    </row>
    <row r="325" spans="1:23" s="7" customFormat="1" ht="17.25" x14ac:dyDescent="0.2">
      <c r="A325" s="141">
        <f>IF(J325&lt;&gt;"",1+MAX($A$18:A324),"")</f>
        <v>223</v>
      </c>
      <c r="B325" s="111"/>
      <c r="C325" s="111"/>
      <c r="D325" s="98"/>
      <c r="E325" s="184"/>
      <c r="F325" s="117" t="s">
        <v>731</v>
      </c>
      <c r="G325" s="96">
        <f>ROUNDUP(G321/9.2,0)+ROUNDUP(G321*9%,0)</f>
        <v>42</v>
      </c>
      <c r="H325" s="51">
        <f>IF(VLOOKUP(J325,'HOURLY RATES'!B$116:C$124,2,0)=0,$J$3,VLOOKUP(J325,'HOURLY RATES'!B$116:C$124,2,0))</f>
        <v>0</v>
      </c>
      <c r="I325" s="52">
        <f t="shared" si="322"/>
        <v>42</v>
      </c>
      <c r="J325" s="94" t="s">
        <v>226</v>
      </c>
      <c r="K325" s="244"/>
      <c r="L325" s="245"/>
      <c r="M325" s="246"/>
      <c r="N325" s="246"/>
      <c r="O325" s="247"/>
      <c r="P325" s="247"/>
      <c r="Q325" s="248"/>
      <c r="R325" s="109"/>
      <c r="S325" s="108"/>
      <c r="T325" s="107"/>
      <c r="W325" s="3"/>
    </row>
    <row r="326" spans="1:23" s="7" customFormat="1" ht="17.25" x14ac:dyDescent="0.2">
      <c r="A326" s="141">
        <f>IF(J326&lt;&gt;"",1+MAX($A$18:A325),"")</f>
        <v>224</v>
      </c>
      <c r="B326" s="111"/>
      <c r="C326" s="111"/>
      <c r="D326" s="98"/>
      <c r="E326" s="184"/>
      <c r="F326" s="117" t="s">
        <v>732</v>
      </c>
      <c r="G326" s="96">
        <f>ROUNDUP(G321/9.2,0)+ROUNDUP(G321*9%,0)</f>
        <v>42</v>
      </c>
      <c r="H326" s="51">
        <f>IF(VLOOKUP(J326,'HOURLY RATES'!B$116:C$124,2,0)=0,$J$3,VLOOKUP(J326,'HOURLY RATES'!B$116:C$124,2,0))</f>
        <v>0</v>
      </c>
      <c r="I326" s="52">
        <f t="shared" si="322"/>
        <v>42</v>
      </c>
      <c r="J326" s="94" t="s">
        <v>226</v>
      </c>
      <c r="K326" s="244"/>
      <c r="L326" s="245"/>
      <c r="M326" s="246"/>
      <c r="N326" s="246"/>
      <c r="O326" s="247"/>
      <c r="P326" s="247"/>
      <c r="Q326" s="248"/>
      <c r="R326" s="109"/>
      <c r="S326" s="108"/>
      <c r="T326" s="107"/>
      <c r="W326" s="3"/>
    </row>
    <row r="327" spans="1:23" s="7" customFormat="1" ht="17.25" x14ac:dyDescent="0.2">
      <c r="A327" s="141" t="str">
        <f>IF(J327&lt;&gt;"",1+MAX($A$18:A326),"")</f>
        <v/>
      </c>
      <c r="B327" s="111"/>
      <c r="C327" s="111"/>
      <c r="D327" s="98"/>
      <c r="E327" s="184"/>
      <c r="F327" s="112" t="s">
        <v>223</v>
      </c>
      <c r="G327" s="115"/>
      <c r="H327" s="116"/>
      <c r="I327" s="100"/>
      <c r="J327" s="110"/>
      <c r="K327" s="244"/>
      <c r="L327" s="245"/>
      <c r="M327" s="246"/>
      <c r="N327" s="246"/>
      <c r="O327" s="247"/>
      <c r="P327" s="247"/>
      <c r="Q327" s="248"/>
      <c r="R327" s="109"/>
      <c r="S327" s="108"/>
      <c r="T327" s="107"/>
      <c r="W327" s="3"/>
    </row>
    <row r="328" spans="1:23" s="7" customFormat="1" x14ac:dyDescent="0.2">
      <c r="A328" s="141">
        <f>IF(J328&lt;&gt;"",1+MAX($A$18:A327),"")</f>
        <v>225</v>
      </c>
      <c r="B328" s="111"/>
      <c r="C328" s="111"/>
      <c r="D328" s="95" t="s">
        <v>738</v>
      </c>
      <c r="E328" s="183" t="s">
        <v>83</v>
      </c>
      <c r="F328" s="112" t="s">
        <v>809</v>
      </c>
      <c r="G328" s="115">
        <v>40</v>
      </c>
      <c r="H328" s="51">
        <f>IF(VLOOKUP(J328,'HOURLY RATES'!B$116:C$124,2,0)=0,$J$3,VLOOKUP(J328,'HOURLY RATES'!B$116:C$124,2,0))</f>
        <v>0.05</v>
      </c>
      <c r="I328" s="52">
        <f t="shared" ref="I328:I333" si="324">(G328*(1+H328))</f>
        <v>42</v>
      </c>
      <c r="J328" s="94" t="s">
        <v>225</v>
      </c>
      <c r="K328" s="238">
        <v>8.8999999999999996E-2</v>
      </c>
      <c r="L328" s="59">
        <f>K328*I328</f>
        <v>3.738</v>
      </c>
      <c r="M328" s="57">
        <f>IF(VLOOKUP(E328,'HOURLY RATES'!C$6:D$105,2,0)=0,$E$3,VLOOKUP(E328,'HOURLY RATES'!C$6:D$105,2,0))</f>
        <v>73.944999999999993</v>
      </c>
      <c r="N328" s="57">
        <f>M328*L328</f>
        <v>276.40640999999999</v>
      </c>
      <c r="O328" s="60">
        <v>5.9</v>
      </c>
      <c r="P328" s="242">
        <f>O328*I328</f>
        <v>247.8</v>
      </c>
      <c r="Q328" s="61">
        <f t="shared" ref="Q328" si="325">P328+N328</f>
        <v>524.20641000000001</v>
      </c>
      <c r="R328" s="142"/>
      <c r="S328" s="108">
        <f>((((N328*(1+$D$7))+(P328*(1+$D$5+$D$6)))*(1+$D$8)))/I328</f>
        <v>15.717176544999997</v>
      </c>
      <c r="T328" s="107">
        <f>S328*I328</f>
        <v>660.12141488999987</v>
      </c>
      <c r="W328" s="3"/>
    </row>
    <row r="329" spans="1:23" s="7" customFormat="1" ht="17.25" x14ac:dyDescent="0.2">
      <c r="A329" s="141">
        <f>IF(J329&lt;&gt;"",1+MAX($A$18:A328),"")</f>
        <v>226</v>
      </c>
      <c r="B329" s="111"/>
      <c r="C329" s="111"/>
      <c r="D329" s="98"/>
      <c r="E329" s="184"/>
      <c r="F329" s="278" t="s">
        <v>848</v>
      </c>
      <c r="G329" s="96">
        <f>ROUNDUP(G328*8%,0)</f>
        <v>4</v>
      </c>
      <c r="H329" s="51">
        <f>IF(VLOOKUP(J329,'HOURLY RATES'!B$116:C$124,2,0)=0,$J$3,VLOOKUP(J329,'HOURLY RATES'!B$116:C$124,2,0))</f>
        <v>0</v>
      </c>
      <c r="I329" s="52">
        <f t="shared" si="324"/>
        <v>4</v>
      </c>
      <c r="J329" s="94" t="s">
        <v>226</v>
      </c>
      <c r="K329" s="244"/>
      <c r="L329" s="245"/>
      <c r="M329" s="246"/>
      <c r="N329" s="246"/>
      <c r="O329" s="247"/>
      <c r="P329" s="247"/>
      <c r="Q329" s="248"/>
      <c r="R329" s="109"/>
      <c r="S329" s="108"/>
      <c r="T329" s="107"/>
      <c r="W329" s="3"/>
    </row>
    <row r="330" spans="1:23" s="7" customFormat="1" ht="17.25" x14ac:dyDescent="0.2">
      <c r="A330" s="141">
        <f>IF(J330&lt;&gt;"",1+MAX($A$18:A329),"")</f>
        <v>227</v>
      </c>
      <c r="B330" s="111"/>
      <c r="C330" s="111"/>
      <c r="D330" s="98"/>
      <c r="E330" s="184"/>
      <c r="F330" s="117" t="s">
        <v>810</v>
      </c>
      <c r="G330" s="96">
        <f>ROUNDUP(G328/10,0)</f>
        <v>4</v>
      </c>
      <c r="H330" s="51">
        <f>IF(VLOOKUP(J330,'HOURLY RATES'!B$116:C$124,2,0)=0,$J$3,VLOOKUP(J330,'HOURLY RATES'!B$116:C$124,2,0))</f>
        <v>0</v>
      </c>
      <c r="I330" s="52">
        <f t="shared" si="324"/>
        <v>4</v>
      </c>
      <c r="J330" s="94" t="s">
        <v>226</v>
      </c>
      <c r="K330" s="244"/>
      <c r="L330" s="245"/>
      <c r="M330" s="246"/>
      <c r="N330" s="246"/>
      <c r="O330" s="247"/>
      <c r="P330" s="247"/>
      <c r="Q330" s="248"/>
      <c r="R330" s="109"/>
      <c r="S330" s="108"/>
      <c r="T330" s="107"/>
      <c r="W330" s="3"/>
    </row>
    <row r="331" spans="1:23" s="7" customFormat="1" ht="17.25" x14ac:dyDescent="0.2">
      <c r="A331" s="141">
        <f>IF(J331&lt;&gt;"",1+MAX($A$18:A330),"")</f>
        <v>228</v>
      </c>
      <c r="B331" s="111"/>
      <c r="C331" s="111"/>
      <c r="D331" s="98"/>
      <c r="E331" s="184"/>
      <c r="F331" s="117" t="s">
        <v>811</v>
      </c>
      <c r="G331" s="96">
        <f>ROUNDUP(G328/9.2,0)+ROUNDUP(G328*4%,0)</f>
        <v>7</v>
      </c>
      <c r="H331" s="51">
        <f>IF(VLOOKUP(J331,'HOURLY RATES'!B$116:C$124,2,0)=0,$J$3,VLOOKUP(J331,'HOURLY RATES'!B$116:C$124,2,0))</f>
        <v>0</v>
      </c>
      <c r="I331" s="52">
        <f t="shared" si="324"/>
        <v>7</v>
      </c>
      <c r="J331" s="94" t="s">
        <v>226</v>
      </c>
      <c r="K331" s="244"/>
      <c r="L331" s="245"/>
      <c r="M331" s="246"/>
      <c r="N331" s="246"/>
      <c r="O331" s="247"/>
      <c r="P331" s="247"/>
      <c r="Q331" s="248"/>
      <c r="R331" s="109"/>
      <c r="S331" s="108"/>
      <c r="T331" s="107"/>
      <c r="W331" s="3"/>
    </row>
    <row r="332" spans="1:23" s="7" customFormat="1" ht="17.25" x14ac:dyDescent="0.2">
      <c r="A332" s="141">
        <f>IF(J332&lt;&gt;"",1+MAX($A$18:A331),"")</f>
        <v>229</v>
      </c>
      <c r="B332" s="111"/>
      <c r="C332" s="111"/>
      <c r="D332" s="98"/>
      <c r="E332" s="184"/>
      <c r="F332" s="117" t="s">
        <v>731</v>
      </c>
      <c r="G332" s="96">
        <f>ROUNDUP(G328/9.2,0)+ROUNDUP(G328*9%,0)</f>
        <v>9</v>
      </c>
      <c r="H332" s="51">
        <f>IF(VLOOKUP(J332,'HOURLY RATES'!B$116:C$124,2,0)=0,$J$3,VLOOKUP(J332,'HOURLY RATES'!B$116:C$124,2,0))</f>
        <v>0</v>
      </c>
      <c r="I332" s="52">
        <f t="shared" si="324"/>
        <v>9</v>
      </c>
      <c r="J332" s="94" t="s">
        <v>226</v>
      </c>
      <c r="K332" s="244"/>
      <c r="L332" s="245"/>
      <c r="M332" s="246"/>
      <c r="N332" s="246"/>
      <c r="O332" s="247"/>
      <c r="P332" s="247"/>
      <c r="Q332" s="248"/>
      <c r="R332" s="109"/>
      <c r="S332" s="108"/>
      <c r="T332" s="107"/>
      <c r="W332" s="3"/>
    </row>
    <row r="333" spans="1:23" s="7" customFormat="1" ht="17.25" x14ac:dyDescent="0.2">
      <c r="A333" s="141">
        <f>IF(J333&lt;&gt;"",1+MAX($A$18:A332),"")</f>
        <v>230</v>
      </c>
      <c r="B333" s="111"/>
      <c r="C333" s="111"/>
      <c r="D333" s="98"/>
      <c r="E333" s="184"/>
      <c r="F333" s="117" t="s">
        <v>732</v>
      </c>
      <c r="G333" s="96">
        <f>ROUNDUP(G328/9.2,0)+ROUNDUP(G328*9%,0)</f>
        <v>9</v>
      </c>
      <c r="H333" s="51">
        <f>IF(VLOOKUP(J333,'HOURLY RATES'!B$116:C$124,2,0)=0,$J$3,VLOOKUP(J333,'HOURLY RATES'!B$116:C$124,2,0))</f>
        <v>0</v>
      </c>
      <c r="I333" s="52">
        <f t="shared" si="324"/>
        <v>9</v>
      </c>
      <c r="J333" s="94" t="s">
        <v>226</v>
      </c>
      <c r="K333" s="244"/>
      <c r="L333" s="245"/>
      <c r="M333" s="246"/>
      <c r="N333" s="246"/>
      <c r="O333" s="247"/>
      <c r="P333" s="247"/>
      <c r="Q333" s="248"/>
      <c r="R333" s="109"/>
      <c r="S333" s="108"/>
      <c r="T333" s="107"/>
      <c r="W333" s="3"/>
    </row>
    <row r="334" spans="1:23" s="7" customFormat="1" ht="17.25" x14ac:dyDescent="0.2">
      <c r="A334" s="141" t="str">
        <f>IF(J334&lt;&gt;"",1+MAX($A$18:A333),"")</f>
        <v/>
      </c>
      <c r="B334" s="111"/>
      <c r="C334" s="114"/>
      <c r="D334" s="98"/>
      <c r="E334" s="184"/>
      <c r="F334" s="179" t="s">
        <v>223</v>
      </c>
      <c r="G334" s="113"/>
      <c r="H334" s="99"/>
      <c r="I334" s="100"/>
      <c r="J334" s="110"/>
      <c r="K334" s="244"/>
      <c r="L334" s="245"/>
      <c r="M334" s="246"/>
      <c r="N334" s="246"/>
      <c r="O334" s="60"/>
      <c r="P334" s="60"/>
      <c r="Q334" s="248"/>
      <c r="R334" s="109"/>
      <c r="S334" s="108"/>
      <c r="T334" s="107"/>
    </row>
    <row r="335" spans="1:23" s="7" customFormat="1" ht="17.25" x14ac:dyDescent="0.2">
      <c r="A335" s="141" t="str">
        <f>IF(J335&lt;&gt;"",1+MAX($A$18:A334),"")</f>
        <v/>
      </c>
      <c r="B335" s="111"/>
      <c r="C335" s="114"/>
      <c r="D335" s="98"/>
      <c r="E335" s="184"/>
      <c r="F335" s="180" t="s">
        <v>726</v>
      </c>
      <c r="G335" s="96"/>
      <c r="H335" s="99"/>
      <c r="I335" s="100"/>
      <c r="J335" s="110"/>
      <c r="K335" s="244"/>
      <c r="L335" s="245"/>
      <c r="M335" s="246"/>
      <c r="N335" s="246"/>
      <c r="O335" s="60"/>
      <c r="P335" s="60"/>
      <c r="Q335" s="248"/>
      <c r="R335" s="109"/>
      <c r="S335" s="108"/>
      <c r="T335" s="107"/>
    </row>
    <row r="336" spans="1:23" s="7" customFormat="1" ht="17.25" x14ac:dyDescent="0.2">
      <c r="A336" s="141" t="str">
        <f>IF(J336&lt;&gt;"",1+MAX($A$18:A335),"")</f>
        <v/>
      </c>
      <c r="B336" s="111"/>
      <c r="C336" s="114"/>
      <c r="D336" s="98"/>
      <c r="E336" s="184"/>
      <c r="F336" s="181" t="s">
        <v>814</v>
      </c>
      <c r="G336" s="96"/>
      <c r="H336" s="99"/>
      <c r="I336" s="100"/>
      <c r="J336" s="110"/>
      <c r="K336" s="244"/>
      <c r="L336" s="245"/>
      <c r="M336" s="246"/>
      <c r="N336" s="246"/>
      <c r="O336" s="60"/>
      <c r="P336" s="60"/>
      <c r="Q336" s="248"/>
      <c r="R336" s="109"/>
      <c r="S336" s="108"/>
      <c r="T336" s="107"/>
    </row>
    <row r="337" spans="1:23" s="7" customFormat="1" x14ac:dyDescent="0.2">
      <c r="A337" s="141">
        <f>IF(J337&lt;&gt;"",1+MAX($A$18:A336),"")</f>
        <v>231</v>
      </c>
      <c r="B337" s="111"/>
      <c r="C337" s="111"/>
      <c r="D337" s="95" t="s">
        <v>738</v>
      </c>
      <c r="E337" s="183" t="s">
        <v>83</v>
      </c>
      <c r="F337" s="112" t="s">
        <v>815</v>
      </c>
      <c r="G337" s="115">
        <v>1021.37</v>
      </c>
      <c r="H337" s="51">
        <f>IF(VLOOKUP(J337,'HOURLY RATES'!B$116:C$124,2,0)=0,$J$3,VLOOKUP(J337,'HOURLY RATES'!B$116:C$124,2,0))</f>
        <v>0.05</v>
      </c>
      <c r="I337" s="52">
        <f t="shared" ref="I337" si="326">(G337*(1+H337))</f>
        <v>1072.4385</v>
      </c>
      <c r="J337" s="94" t="s">
        <v>225</v>
      </c>
      <c r="K337" s="238">
        <v>1.2E-2</v>
      </c>
      <c r="L337" s="59">
        <f>K337*I337</f>
        <v>12.869262000000001</v>
      </c>
      <c r="M337" s="57">
        <f>IF(VLOOKUP(E337,'HOURLY RATES'!C$6:D$105,2,0)=0,$E$3,VLOOKUP(E337,'HOURLY RATES'!C$6:D$105,2,0))</f>
        <v>73.944999999999993</v>
      </c>
      <c r="N337" s="57">
        <f>M337*L337</f>
        <v>951.61757858999999</v>
      </c>
      <c r="O337" s="60">
        <v>1.1000000000000001</v>
      </c>
      <c r="P337" s="242">
        <f>O337*I337</f>
        <v>1179.68235</v>
      </c>
      <c r="Q337" s="61">
        <f t="shared" ref="Q337" si="327">P337+N337</f>
        <v>2131.29992859</v>
      </c>
      <c r="R337" s="142"/>
      <c r="S337" s="108">
        <f>((((N337*(1+$D$7))+(P337*(1+$D$5+$D$6)))*(1+$D$8)))/I337</f>
        <v>2.5166326149999998</v>
      </c>
      <c r="T337" s="107">
        <f>S337*I337</f>
        <v>2698.933706681677</v>
      </c>
      <c r="W337" s="3"/>
    </row>
    <row r="338" spans="1:23" s="7" customFormat="1" ht="17.25" x14ac:dyDescent="0.2">
      <c r="A338" s="141" t="str">
        <f>IF(J338&lt;&gt;"",1+MAX($A$18:A337),"")</f>
        <v/>
      </c>
      <c r="B338" s="111"/>
      <c r="C338" s="111"/>
      <c r="D338" s="98"/>
      <c r="E338" s="184"/>
      <c r="F338" s="112" t="s">
        <v>223</v>
      </c>
      <c r="G338" s="115"/>
      <c r="H338" s="116"/>
      <c r="I338" s="100"/>
      <c r="J338" s="110"/>
      <c r="K338" s="244"/>
      <c r="L338" s="245"/>
      <c r="M338" s="246"/>
      <c r="N338" s="246"/>
      <c r="O338" s="247"/>
      <c r="P338" s="247"/>
      <c r="Q338" s="248"/>
      <c r="R338" s="109"/>
      <c r="S338" s="108"/>
      <c r="T338" s="107"/>
      <c r="W338" s="3"/>
    </row>
    <row r="339" spans="1:23" s="7" customFormat="1" x14ac:dyDescent="0.2">
      <c r="A339" s="141">
        <f>IF(J339&lt;&gt;"",1+MAX($A$18:A338),"")</f>
        <v>232</v>
      </c>
      <c r="B339" s="111"/>
      <c r="C339" s="111"/>
      <c r="D339" s="95" t="s">
        <v>738</v>
      </c>
      <c r="E339" s="183" t="s">
        <v>83</v>
      </c>
      <c r="F339" s="112" t="s">
        <v>808</v>
      </c>
      <c r="G339" s="115">
        <v>420</v>
      </c>
      <c r="H339" s="51">
        <f>IF(VLOOKUP(J339,'HOURLY RATES'!B$116:C$124,2,0)=0,$J$3,VLOOKUP(J339,'HOURLY RATES'!B$116:C$124,2,0))</f>
        <v>0.05</v>
      </c>
      <c r="I339" s="52">
        <f t="shared" ref="I339:I344" si="328">(G339*(1+H339))</f>
        <v>441</v>
      </c>
      <c r="J339" s="94" t="s">
        <v>225</v>
      </c>
      <c r="K339" s="238">
        <v>7.0000000000000007E-2</v>
      </c>
      <c r="L339" s="59">
        <f>K339*I339</f>
        <v>30.870000000000005</v>
      </c>
      <c r="M339" s="57">
        <f>IF(VLOOKUP(E339,'HOURLY RATES'!C$6:D$105,2,0)=0,$E$3,VLOOKUP(E339,'HOURLY RATES'!C$6:D$105,2,0))</f>
        <v>73.944999999999993</v>
      </c>
      <c r="N339" s="57">
        <f>M339*L339</f>
        <v>2282.6821500000001</v>
      </c>
      <c r="O339" s="60">
        <v>3.11</v>
      </c>
      <c r="P339" s="242">
        <f>O339*I339</f>
        <v>1371.51</v>
      </c>
      <c r="Q339" s="61">
        <f t="shared" ref="Q339" si="329">P339+N339</f>
        <v>3654.1921499999999</v>
      </c>
      <c r="R339" s="142"/>
      <c r="S339" s="108">
        <f>((((N339*(1+$D$7))+(P339*(1+$D$5+$D$6)))*(1+$D$8)))/I339</f>
        <v>10.364097299499999</v>
      </c>
      <c r="T339" s="107">
        <f>S339*I339</f>
        <v>4570.5669090795</v>
      </c>
      <c r="W339" s="3"/>
    </row>
    <row r="340" spans="1:23" s="7" customFormat="1" ht="17.25" x14ac:dyDescent="0.2">
      <c r="A340" s="141">
        <f>IF(J340&lt;&gt;"",1+MAX($A$18:A339),"")</f>
        <v>233</v>
      </c>
      <c r="B340" s="111"/>
      <c r="C340" s="111"/>
      <c r="D340" s="98"/>
      <c r="E340" s="184"/>
      <c r="F340" s="278" t="s">
        <v>847</v>
      </c>
      <c r="G340" s="96">
        <f>ROUNDUP(G339*8%,0)</f>
        <v>34</v>
      </c>
      <c r="H340" s="51">
        <f>IF(VLOOKUP(J340,'HOURLY RATES'!B$116:C$124,2,0)=0,$J$3,VLOOKUP(J340,'HOURLY RATES'!B$116:C$124,2,0))</f>
        <v>0</v>
      </c>
      <c r="I340" s="52">
        <f t="shared" si="328"/>
        <v>34</v>
      </c>
      <c r="J340" s="94" t="s">
        <v>226</v>
      </c>
      <c r="K340" s="244"/>
      <c r="L340" s="245"/>
      <c r="M340" s="246"/>
      <c r="N340" s="246"/>
      <c r="O340" s="247"/>
      <c r="P340" s="247"/>
      <c r="Q340" s="248"/>
      <c r="R340" s="109"/>
      <c r="S340" s="108"/>
      <c r="T340" s="107"/>
      <c r="W340" s="3"/>
    </row>
    <row r="341" spans="1:23" s="7" customFormat="1" ht="17.25" x14ac:dyDescent="0.2">
      <c r="A341" s="141">
        <f>IF(J341&lt;&gt;"",1+MAX($A$18:A340),"")</f>
        <v>234</v>
      </c>
      <c r="B341" s="111"/>
      <c r="C341" s="111"/>
      <c r="D341" s="98"/>
      <c r="E341" s="184"/>
      <c r="F341" s="117" t="s">
        <v>761</v>
      </c>
      <c r="G341" s="96">
        <f>ROUNDUP(G339/10,0)</f>
        <v>42</v>
      </c>
      <c r="H341" s="51">
        <f>IF(VLOOKUP(J341,'HOURLY RATES'!B$116:C$124,2,0)=0,$J$3,VLOOKUP(J341,'HOURLY RATES'!B$116:C$124,2,0))</f>
        <v>0</v>
      </c>
      <c r="I341" s="52">
        <f t="shared" si="328"/>
        <v>42</v>
      </c>
      <c r="J341" s="94" t="s">
        <v>226</v>
      </c>
      <c r="K341" s="244"/>
      <c r="L341" s="245"/>
      <c r="M341" s="246"/>
      <c r="N341" s="246"/>
      <c r="O341" s="247"/>
      <c r="P341" s="247"/>
      <c r="Q341" s="248"/>
      <c r="R341" s="109"/>
      <c r="S341" s="108"/>
      <c r="T341" s="107"/>
      <c r="W341" s="3"/>
    </row>
    <row r="342" spans="1:23" s="7" customFormat="1" ht="17.25" x14ac:dyDescent="0.2">
      <c r="A342" s="141">
        <f>IF(J342&lt;&gt;"",1+MAX($A$18:A341),"")</f>
        <v>235</v>
      </c>
      <c r="B342" s="111"/>
      <c r="C342" s="111"/>
      <c r="D342" s="98"/>
      <c r="E342" s="184"/>
      <c r="F342" s="117" t="s">
        <v>762</v>
      </c>
      <c r="G342" s="96">
        <f>ROUNDUP(G339/9.2,0)+ROUNDUP(G339*4%,0)</f>
        <v>63</v>
      </c>
      <c r="H342" s="51">
        <f>IF(VLOOKUP(J342,'HOURLY RATES'!B$116:C$124,2,0)=0,$J$3,VLOOKUP(J342,'HOURLY RATES'!B$116:C$124,2,0))</f>
        <v>0</v>
      </c>
      <c r="I342" s="52">
        <f t="shared" si="328"/>
        <v>63</v>
      </c>
      <c r="J342" s="94" t="s">
        <v>226</v>
      </c>
      <c r="K342" s="244"/>
      <c r="L342" s="245"/>
      <c r="M342" s="246"/>
      <c r="N342" s="246"/>
      <c r="O342" s="247"/>
      <c r="P342" s="247"/>
      <c r="Q342" s="248"/>
      <c r="R342" s="109"/>
      <c r="S342" s="108"/>
      <c r="T342" s="107"/>
      <c r="W342" s="3"/>
    </row>
    <row r="343" spans="1:23" s="7" customFormat="1" ht="17.25" x14ac:dyDescent="0.2">
      <c r="A343" s="141">
        <f>IF(J343&lt;&gt;"",1+MAX($A$18:A342),"")</f>
        <v>236</v>
      </c>
      <c r="B343" s="111"/>
      <c r="C343" s="111"/>
      <c r="D343" s="98"/>
      <c r="E343" s="184"/>
      <c r="F343" s="117" t="s">
        <v>731</v>
      </c>
      <c r="G343" s="96">
        <f>ROUNDUP(G339/9.2,0)+ROUNDUP(G339*9%,0)</f>
        <v>84</v>
      </c>
      <c r="H343" s="51">
        <f>IF(VLOOKUP(J343,'HOURLY RATES'!B$116:C$124,2,0)=0,$J$3,VLOOKUP(J343,'HOURLY RATES'!B$116:C$124,2,0))</f>
        <v>0</v>
      </c>
      <c r="I343" s="52">
        <f t="shared" si="328"/>
        <v>84</v>
      </c>
      <c r="J343" s="94" t="s">
        <v>226</v>
      </c>
      <c r="K343" s="244"/>
      <c r="L343" s="245"/>
      <c r="M343" s="246"/>
      <c r="N343" s="246"/>
      <c r="O343" s="247"/>
      <c r="P343" s="247"/>
      <c r="Q343" s="248"/>
      <c r="R343" s="109"/>
      <c r="S343" s="108"/>
      <c r="T343" s="107"/>
      <c r="W343" s="3"/>
    </row>
    <row r="344" spans="1:23" s="7" customFormat="1" ht="17.25" x14ac:dyDescent="0.2">
      <c r="A344" s="141">
        <f>IF(J344&lt;&gt;"",1+MAX($A$18:A343),"")</f>
        <v>237</v>
      </c>
      <c r="B344" s="111"/>
      <c r="C344" s="111"/>
      <c r="D344" s="98"/>
      <c r="E344" s="184"/>
      <c r="F344" s="117" t="s">
        <v>732</v>
      </c>
      <c r="G344" s="96">
        <f>ROUNDUP(G339/9.2,0)+ROUNDUP(G339*9%,0)</f>
        <v>84</v>
      </c>
      <c r="H344" s="51">
        <f>IF(VLOOKUP(J344,'HOURLY RATES'!B$116:C$124,2,0)=0,$J$3,VLOOKUP(J344,'HOURLY RATES'!B$116:C$124,2,0))</f>
        <v>0</v>
      </c>
      <c r="I344" s="52">
        <f t="shared" si="328"/>
        <v>84</v>
      </c>
      <c r="J344" s="94" t="s">
        <v>226</v>
      </c>
      <c r="K344" s="244"/>
      <c r="L344" s="245"/>
      <c r="M344" s="246"/>
      <c r="N344" s="246"/>
      <c r="O344" s="247"/>
      <c r="P344" s="247"/>
      <c r="Q344" s="248"/>
      <c r="R344" s="109"/>
      <c r="S344" s="108"/>
      <c r="T344" s="107"/>
      <c r="W344" s="3"/>
    </row>
    <row r="345" spans="1:23" s="7" customFormat="1" x14ac:dyDescent="0.2">
      <c r="A345" s="262" t="str">
        <f>IF(J345&lt;&gt;"",1+MAX($A$18:A230),"")</f>
        <v/>
      </c>
      <c r="B345" s="263"/>
      <c r="C345" s="263"/>
      <c r="D345" s="264"/>
      <c r="E345" s="265"/>
      <c r="F345" s="266" t="s">
        <v>223</v>
      </c>
      <c r="G345" s="267"/>
      <c r="H345" s="267"/>
      <c r="I345" s="267"/>
      <c r="J345" s="268"/>
      <c r="K345" s="267"/>
      <c r="L345" s="269"/>
      <c r="M345" s="270"/>
      <c r="N345" s="270"/>
      <c r="O345" s="271"/>
      <c r="P345" s="271"/>
      <c r="Q345" s="272"/>
      <c r="R345" s="109"/>
      <c r="S345" s="108"/>
      <c r="T345" s="107"/>
    </row>
    <row r="346" spans="1:23" s="7" customFormat="1" x14ac:dyDescent="0.2">
      <c r="A346" s="295" t="s">
        <v>55</v>
      </c>
      <c r="B346" s="295"/>
      <c r="C346" s="298"/>
      <c r="D346" s="298"/>
      <c r="E346" s="298"/>
      <c r="F346" s="298"/>
      <c r="G346" s="298"/>
      <c r="H346" s="298"/>
      <c r="I346" s="298"/>
      <c r="J346" s="298"/>
      <c r="K346" s="273" t="s">
        <v>230</v>
      </c>
      <c r="L346" s="274">
        <f>SUM(L18:L345)</f>
        <v>1578.5413416075121</v>
      </c>
      <c r="M346" s="275" t="s">
        <v>231</v>
      </c>
      <c r="N346" s="276">
        <f>SUM(N18:N345)</f>
        <v>116326.33950516752</v>
      </c>
      <c r="O346" s="275" t="s">
        <v>232</v>
      </c>
      <c r="P346" s="276">
        <f>SUM(P18:P345)</f>
        <v>52544.907655000039</v>
      </c>
      <c r="Q346" s="277">
        <f>SUM(Q18:Q345)</f>
        <v>168871.24716016761</v>
      </c>
      <c r="R346" s="277">
        <f>SUM(R18:R345)</f>
        <v>168871.24716016743</v>
      </c>
      <c r="S346" s="133"/>
      <c r="T346" s="224">
        <f>SUM(T18:T345)</f>
        <v>210273.42402272698</v>
      </c>
      <c r="U346" s="1"/>
    </row>
    <row r="347" spans="1:23" s="7" customFormat="1" ht="16.5" thickBot="1" x14ac:dyDescent="0.25">
      <c r="A347" s="296" t="s">
        <v>56</v>
      </c>
      <c r="B347" s="297"/>
      <c r="C347" s="38"/>
      <c r="D347" s="38"/>
      <c r="E347" s="104"/>
      <c r="F347" s="39"/>
      <c r="G347" s="40"/>
      <c r="H347" s="40"/>
      <c r="I347" s="40"/>
      <c r="J347" s="38"/>
      <c r="K347" s="38"/>
      <c r="L347" s="38"/>
      <c r="M347" s="67">
        <f>D5</f>
        <v>8.6029999999999995E-2</v>
      </c>
      <c r="N347" s="68"/>
      <c r="O347" s="68"/>
      <c r="P347" s="68">
        <f>P346*M347</f>
        <v>4520.4384055596529</v>
      </c>
      <c r="Q347" s="68">
        <f>P347+N347</f>
        <v>4520.4384055596529</v>
      </c>
      <c r="R347" s="143">
        <f>Q347</f>
        <v>4520.4384055596529</v>
      </c>
      <c r="S347" s="133"/>
      <c r="T347" s="133"/>
      <c r="U347" s="1"/>
    </row>
    <row r="348" spans="1:23" s="7" customFormat="1" ht="17.25" thickTop="1" thickBot="1" x14ac:dyDescent="0.25">
      <c r="A348" s="144" t="s">
        <v>233</v>
      </c>
      <c r="B348" s="46"/>
      <c r="C348" s="41"/>
      <c r="D348" s="41"/>
      <c r="E348" s="105"/>
      <c r="F348" s="42"/>
      <c r="G348" s="43"/>
      <c r="H348" s="43"/>
      <c r="I348" s="43"/>
      <c r="J348" s="41"/>
      <c r="K348" s="41"/>
      <c r="L348" s="41"/>
      <c r="M348" s="47">
        <f>D6</f>
        <v>0.2</v>
      </c>
      <c r="N348" s="45"/>
      <c r="O348" s="45"/>
      <c r="P348" s="45">
        <f>P346*M348</f>
        <v>10508.981531000009</v>
      </c>
      <c r="Q348" s="45">
        <f>P348+N348</f>
        <v>10508.981531000009</v>
      </c>
      <c r="R348" s="145">
        <f>Q348</f>
        <v>10508.981531000009</v>
      </c>
      <c r="S348" s="133"/>
      <c r="T348" s="133"/>
      <c r="U348" s="1"/>
    </row>
    <row r="349" spans="1:23" s="7" customFormat="1" ht="17.25" thickTop="1" thickBot="1" x14ac:dyDescent="0.25">
      <c r="A349" s="144" t="s">
        <v>234</v>
      </c>
      <c r="B349" s="46"/>
      <c r="C349" s="41"/>
      <c r="D349" s="41"/>
      <c r="E349" s="105"/>
      <c r="F349" s="42"/>
      <c r="G349" s="43"/>
      <c r="H349" s="43"/>
      <c r="I349" s="43"/>
      <c r="J349" s="41"/>
      <c r="K349" s="41"/>
      <c r="L349" s="41"/>
      <c r="M349" s="47">
        <f>D7</f>
        <v>0.2</v>
      </c>
      <c r="N349" s="45">
        <f>N346*M349</f>
        <v>23265.267901033505</v>
      </c>
      <c r="O349" s="45"/>
      <c r="P349" s="45"/>
      <c r="Q349" s="45">
        <f>P349+N349</f>
        <v>23265.267901033505</v>
      </c>
      <c r="R349" s="145">
        <f>Q349</f>
        <v>23265.267901033505</v>
      </c>
      <c r="S349" s="133"/>
      <c r="T349" s="133"/>
      <c r="U349" s="1"/>
    </row>
    <row r="350" spans="1:23" s="7" customFormat="1" ht="17.25" thickTop="1" thickBot="1" x14ac:dyDescent="0.25">
      <c r="A350" s="286" t="s">
        <v>235</v>
      </c>
      <c r="B350" s="287"/>
      <c r="C350" s="41"/>
      <c r="D350" s="41"/>
      <c r="E350" s="105"/>
      <c r="F350" s="42"/>
      <c r="G350" s="43"/>
      <c r="H350" s="43"/>
      <c r="I350" s="43"/>
      <c r="J350" s="41"/>
      <c r="K350" s="41"/>
      <c r="L350" s="41"/>
      <c r="M350" s="44">
        <f>D8</f>
        <v>1.4999999999999999E-2</v>
      </c>
      <c r="N350" s="45">
        <f>(N346+N347+N348+N349)*M350</f>
        <v>2093.874111093015</v>
      </c>
      <c r="O350" s="45"/>
      <c r="P350" s="45">
        <f>(P346+P347+P348+P349)*M350</f>
        <v>1013.6149138733955</v>
      </c>
      <c r="Q350" s="45">
        <f>P350+N350</f>
        <v>3107.4890249664104</v>
      </c>
      <c r="R350" s="145">
        <f>Q350</f>
        <v>3107.4890249664104</v>
      </c>
      <c r="S350" s="133"/>
      <c r="T350" s="133"/>
      <c r="U350" s="1"/>
    </row>
    <row r="351" spans="1:23" s="7" customFormat="1" ht="16.5" thickTop="1" x14ac:dyDescent="0.2">
      <c r="A351" s="288" t="s">
        <v>57</v>
      </c>
      <c r="B351" s="289"/>
      <c r="C351" s="249"/>
      <c r="D351" s="249"/>
      <c r="E351" s="250"/>
      <c r="F351" s="251"/>
      <c r="G351" s="252"/>
      <c r="H351" s="252"/>
      <c r="I351" s="252"/>
      <c r="J351" s="249"/>
      <c r="K351" s="249"/>
      <c r="L351" s="249"/>
      <c r="M351" s="253"/>
      <c r="N351" s="254">
        <f>SUM(N346:N350)</f>
        <v>141685.48151729404</v>
      </c>
      <c r="O351" s="253"/>
      <c r="P351" s="254">
        <f>SUM(P346:P350)</f>
        <v>68587.942505433093</v>
      </c>
      <c r="Q351" s="254">
        <f>SUM(Q346:Q350)</f>
        <v>210273.42402272718</v>
      </c>
      <c r="R351" s="255">
        <f>SUM(R346:R350)</f>
        <v>210273.42402272701</v>
      </c>
      <c r="S351" s="133"/>
      <c r="T351" s="224">
        <f>T346</f>
        <v>210273.42402272698</v>
      </c>
      <c r="U351" s="1"/>
    </row>
    <row r="352" spans="1:23" x14ac:dyDescent="0.2">
      <c r="E352" s="106"/>
    </row>
    <row r="353" spans="5:5" x14ac:dyDescent="0.2">
      <c r="E353" s="106"/>
    </row>
    <row r="354" spans="5:5" x14ac:dyDescent="0.2">
      <c r="E354" s="106"/>
    </row>
    <row r="355" spans="5:5" x14ac:dyDescent="0.2">
      <c r="E355" s="106"/>
    </row>
    <row r="356" spans="5:5" x14ac:dyDescent="0.2">
      <c r="E356" s="106"/>
    </row>
    <row r="357" spans="5:5" x14ac:dyDescent="0.2">
      <c r="E357" s="106"/>
    </row>
    <row r="358" spans="5:5" x14ac:dyDescent="0.2">
      <c r="E358" s="106"/>
    </row>
    <row r="359" spans="5:5" x14ac:dyDescent="0.2">
      <c r="E359" s="106"/>
    </row>
    <row r="360" spans="5:5" x14ac:dyDescent="0.2">
      <c r="E360" s="106"/>
    </row>
    <row r="361" spans="5:5" x14ac:dyDescent="0.2">
      <c r="E361" s="106"/>
    </row>
    <row r="362" spans="5:5" x14ac:dyDescent="0.2">
      <c r="E362" s="106"/>
    </row>
    <row r="363" spans="5:5" x14ac:dyDescent="0.2">
      <c r="E363" s="106"/>
    </row>
    <row r="364" spans="5:5" x14ac:dyDescent="0.2">
      <c r="E364" s="106"/>
    </row>
    <row r="365" spans="5:5" x14ac:dyDescent="0.2">
      <c r="E365" s="106"/>
    </row>
    <row r="366" spans="5:5" x14ac:dyDescent="0.2">
      <c r="E366" s="106"/>
    </row>
    <row r="367" spans="5:5" x14ac:dyDescent="0.2">
      <c r="E367" s="106"/>
    </row>
    <row r="368" spans="5:5" x14ac:dyDescent="0.2">
      <c r="E368" s="106"/>
    </row>
    <row r="369" spans="5:5" x14ac:dyDescent="0.2">
      <c r="E369" s="106"/>
    </row>
    <row r="370" spans="5:5" x14ac:dyDescent="0.2">
      <c r="E370" s="106"/>
    </row>
    <row r="371" spans="5:5" x14ac:dyDescent="0.2">
      <c r="E371" s="106"/>
    </row>
    <row r="372" spans="5:5" x14ac:dyDescent="0.2">
      <c r="E372" s="106"/>
    </row>
    <row r="373" spans="5:5" x14ac:dyDescent="0.2">
      <c r="E373" s="106"/>
    </row>
    <row r="374" spans="5:5" x14ac:dyDescent="0.2">
      <c r="E374" s="106"/>
    </row>
    <row r="375" spans="5:5" x14ac:dyDescent="0.2">
      <c r="E375" s="106"/>
    </row>
    <row r="376" spans="5:5" x14ac:dyDescent="0.2">
      <c r="E376" s="106"/>
    </row>
    <row r="377" spans="5:5" x14ac:dyDescent="0.2">
      <c r="E377" s="106"/>
    </row>
    <row r="378" spans="5:5" x14ac:dyDescent="0.2">
      <c r="E378" s="106"/>
    </row>
    <row r="379" spans="5:5" x14ac:dyDescent="0.2">
      <c r="E379" s="106"/>
    </row>
    <row r="380" spans="5:5" x14ac:dyDescent="0.2">
      <c r="E380" s="106"/>
    </row>
    <row r="381" spans="5:5" x14ac:dyDescent="0.2">
      <c r="E381" s="106"/>
    </row>
    <row r="382" spans="5:5" x14ac:dyDescent="0.2">
      <c r="E382" s="106"/>
    </row>
    <row r="383" spans="5:5" x14ac:dyDescent="0.2">
      <c r="E383" s="106"/>
    </row>
    <row r="384" spans="5:5" x14ac:dyDescent="0.2">
      <c r="E384" s="106"/>
    </row>
    <row r="385" spans="5:5" x14ac:dyDescent="0.2">
      <c r="E385" s="106"/>
    </row>
    <row r="386" spans="5:5" x14ac:dyDescent="0.2">
      <c r="E386" s="106"/>
    </row>
    <row r="387" spans="5:5" x14ac:dyDescent="0.2">
      <c r="E387" s="106"/>
    </row>
    <row r="388" spans="5:5" x14ac:dyDescent="0.2">
      <c r="E388" s="106"/>
    </row>
    <row r="389" spans="5:5" x14ac:dyDescent="0.2">
      <c r="E389" s="106"/>
    </row>
    <row r="390" spans="5:5" x14ac:dyDescent="0.2">
      <c r="E390" s="106"/>
    </row>
    <row r="391" spans="5:5" x14ac:dyDescent="0.2">
      <c r="E391" s="106"/>
    </row>
    <row r="392" spans="5:5" x14ac:dyDescent="0.2">
      <c r="E392" s="106"/>
    </row>
    <row r="393" spans="5:5" x14ac:dyDescent="0.2">
      <c r="E393" s="106"/>
    </row>
    <row r="394" spans="5:5" x14ac:dyDescent="0.2">
      <c r="E394" s="106"/>
    </row>
    <row r="395" spans="5:5" x14ac:dyDescent="0.2">
      <c r="E395" s="106"/>
    </row>
    <row r="396" spans="5:5" x14ac:dyDescent="0.2">
      <c r="E396" s="106"/>
    </row>
    <row r="397" spans="5:5" x14ac:dyDescent="0.2">
      <c r="E397" s="106"/>
    </row>
    <row r="398" spans="5:5" x14ac:dyDescent="0.2">
      <c r="E398" s="106"/>
    </row>
    <row r="399" spans="5:5" x14ac:dyDescent="0.2">
      <c r="E399" s="106"/>
    </row>
    <row r="400" spans="5:5" x14ac:dyDescent="0.2">
      <c r="E400" s="106"/>
    </row>
    <row r="401" spans="5:5" x14ac:dyDescent="0.2">
      <c r="E401" s="106"/>
    </row>
    <row r="402" spans="5:5" x14ac:dyDescent="0.2">
      <c r="E402" s="106"/>
    </row>
    <row r="403" spans="5:5" x14ac:dyDescent="0.2">
      <c r="E403" s="106"/>
    </row>
    <row r="404" spans="5:5" x14ac:dyDescent="0.2">
      <c r="E404" s="106"/>
    </row>
    <row r="405" spans="5:5" x14ac:dyDescent="0.2">
      <c r="E405" s="106"/>
    </row>
    <row r="406" spans="5:5" x14ac:dyDescent="0.2">
      <c r="E406" s="106"/>
    </row>
    <row r="407" spans="5:5" x14ac:dyDescent="0.2">
      <c r="E407" s="106"/>
    </row>
    <row r="408" spans="5:5" x14ac:dyDescent="0.2">
      <c r="E408" s="106"/>
    </row>
    <row r="409" spans="5:5" x14ac:dyDescent="0.2">
      <c r="E409" s="106"/>
    </row>
    <row r="410" spans="5:5" x14ac:dyDescent="0.2">
      <c r="E410" s="106"/>
    </row>
    <row r="411" spans="5:5" x14ac:dyDescent="0.2">
      <c r="E411" s="106"/>
    </row>
    <row r="412" spans="5:5" x14ac:dyDescent="0.2">
      <c r="E412" s="106"/>
    </row>
    <row r="413" spans="5:5" x14ac:dyDescent="0.2">
      <c r="E413" s="106"/>
    </row>
    <row r="414" spans="5:5" x14ac:dyDescent="0.2">
      <c r="E414" s="106"/>
    </row>
    <row r="415" spans="5:5" x14ac:dyDescent="0.2">
      <c r="E415" s="106"/>
    </row>
    <row r="416" spans="5:5" x14ac:dyDescent="0.2">
      <c r="E416" s="106"/>
    </row>
    <row r="417" spans="5:5" x14ac:dyDescent="0.2">
      <c r="E417" s="106"/>
    </row>
    <row r="418" spans="5:5" x14ac:dyDescent="0.2">
      <c r="E418" s="106"/>
    </row>
    <row r="419" spans="5:5" x14ac:dyDescent="0.2">
      <c r="E419" s="106"/>
    </row>
    <row r="420" spans="5:5" x14ac:dyDescent="0.2">
      <c r="E420" s="106"/>
    </row>
    <row r="421" spans="5:5" x14ac:dyDescent="0.2">
      <c r="E421" s="106"/>
    </row>
    <row r="422" spans="5:5" x14ac:dyDescent="0.2">
      <c r="E422" s="106"/>
    </row>
    <row r="423" spans="5:5" x14ac:dyDescent="0.2">
      <c r="E423" s="106"/>
    </row>
    <row r="424" spans="5:5" x14ac:dyDescent="0.2">
      <c r="E424" s="106"/>
    </row>
    <row r="425" spans="5:5" x14ac:dyDescent="0.2">
      <c r="E425" s="106"/>
    </row>
    <row r="426" spans="5:5" x14ac:dyDescent="0.2">
      <c r="E426" s="106"/>
    </row>
    <row r="427" spans="5:5" x14ac:dyDescent="0.2">
      <c r="E427" s="106"/>
    </row>
    <row r="428" spans="5:5" x14ac:dyDescent="0.2">
      <c r="E428" s="106"/>
    </row>
    <row r="429" spans="5:5" x14ac:dyDescent="0.2">
      <c r="E429" s="106"/>
    </row>
    <row r="430" spans="5:5" x14ac:dyDescent="0.2">
      <c r="E430" s="106"/>
    </row>
    <row r="431" spans="5:5" x14ac:dyDescent="0.2">
      <c r="E431" s="106"/>
    </row>
    <row r="432" spans="5:5" x14ac:dyDescent="0.2">
      <c r="E432" s="106"/>
    </row>
    <row r="433" spans="5:5" x14ac:dyDescent="0.2">
      <c r="E433" s="106"/>
    </row>
    <row r="434" spans="5:5" x14ac:dyDescent="0.2">
      <c r="E434" s="106"/>
    </row>
    <row r="435" spans="5:5" x14ac:dyDescent="0.2">
      <c r="E435" s="106"/>
    </row>
    <row r="436" spans="5:5" x14ac:dyDescent="0.2">
      <c r="E436" s="106"/>
    </row>
    <row r="437" spans="5:5" x14ac:dyDescent="0.2">
      <c r="E437" s="106"/>
    </row>
    <row r="438" spans="5:5" x14ac:dyDescent="0.2">
      <c r="E438" s="106"/>
    </row>
    <row r="439" spans="5:5" x14ac:dyDescent="0.2">
      <c r="E439" s="106"/>
    </row>
    <row r="440" spans="5:5" x14ac:dyDescent="0.2">
      <c r="E440" s="106"/>
    </row>
    <row r="441" spans="5:5" x14ac:dyDescent="0.2">
      <c r="E441" s="106"/>
    </row>
    <row r="442" spans="5:5" x14ac:dyDescent="0.2">
      <c r="E442" s="106"/>
    </row>
    <row r="443" spans="5:5" x14ac:dyDescent="0.2">
      <c r="E443" s="106"/>
    </row>
    <row r="444" spans="5:5" x14ac:dyDescent="0.2">
      <c r="E444" s="106"/>
    </row>
    <row r="445" spans="5:5" x14ac:dyDescent="0.2">
      <c r="E445" s="106"/>
    </row>
    <row r="446" spans="5:5" x14ac:dyDescent="0.2">
      <c r="E446" s="106"/>
    </row>
    <row r="447" spans="5:5" x14ac:dyDescent="0.2">
      <c r="E447" s="106"/>
    </row>
    <row r="448" spans="5:5" x14ac:dyDescent="0.2">
      <c r="E448" s="106"/>
    </row>
    <row r="449" spans="5:5" x14ac:dyDescent="0.2">
      <c r="E449" s="106"/>
    </row>
    <row r="450" spans="5:5" x14ac:dyDescent="0.2">
      <c r="E450" s="106"/>
    </row>
    <row r="451" spans="5:5" x14ac:dyDescent="0.2">
      <c r="E451" s="106"/>
    </row>
    <row r="452" spans="5:5" x14ac:dyDescent="0.2">
      <c r="E452" s="106"/>
    </row>
  </sheetData>
  <autoFilter ref="Q1:Q452" xr:uid="{00000000-0001-0000-0300-000000000000}"/>
  <mergeCells count="8">
    <mergeCell ref="A350:B350"/>
    <mergeCell ref="A351:B351"/>
    <mergeCell ref="A2:R2"/>
    <mergeCell ref="E16:F16"/>
    <mergeCell ref="B3:E3"/>
    <mergeCell ref="A346:B346"/>
    <mergeCell ref="A347:B347"/>
    <mergeCell ref="C346:J346"/>
  </mergeCells>
  <phoneticPr fontId="53" type="noConversion"/>
  <dataValidations count="1">
    <dataValidation type="list" allowBlank="1" showInputMessage="1" showErrorMessage="1" sqref="E63" xr:uid="{00000000-0002-0000-0300-000000000000}">
      <formula1>#REF!</formula1>
    </dataValidation>
  </dataValidations>
  <hyperlinks>
    <hyperlink ref="B3:E3" location="'COST SUMMARY'!A1" display="CLICK HERE TO GO BACK TO COST SUMMARY" xr:uid="{00000000-0004-0000-0300-000000000000}"/>
  </hyperlinks>
  <printOptions horizontalCentered="1"/>
  <pageMargins left="0.25" right="0.25" top="0.75" bottom="0.75" header="0.3" footer="0.3"/>
  <pageSetup paperSize="9" scale="22" fitToHeight="0" orientation="portrait" r:id="rId1"/>
  <headerFooter>
    <oddFooter>&amp;C&amp;P of &amp;N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1000000}">
          <x14:formula1>
            <xm:f>'HOURLY RATES'!$C$6:$C$105</xm:f>
          </x14:formula1>
          <xm:sqref>E21:E32 E60:E62 E54:E57 E47:E51 E34:E36 E39:E44 E345 E65</xm:sqref>
        </x14:dataValidation>
        <x14:dataValidation type="list" allowBlank="1" showInputMessage="1" showErrorMessage="1" xr:uid="{00000000-0002-0000-0300-000002000000}">
          <x14:formula1>
            <xm:f>'HOURLY RATES'!$B$116:$B$126</xm:f>
          </x14:formula1>
          <xm:sqref>J283 J249:J254 J92:J107 J345 J154:J158 J148:J152 J19:J65 J160:J173 J175:J181 J286:J300 J194:J195 J303:J304 J275:J280 J120:J138 J257:J258 J140:J144 J192 J109:J115 J80:J82 J73 J84:J90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tabColor rgb="FFFFFF00"/>
    <pageSetUpPr fitToPage="1"/>
  </sheetPr>
  <dimension ref="A1:S77"/>
  <sheetViews>
    <sheetView showGridLines="0" zoomScale="85" zoomScaleNormal="85" workbookViewId="0">
      <selection sqref="A1:S4"/>
    </sheetView>
  </sheetViews>
  <sheetFormatPr defaultColWidth="8.77734375" defaultRowHeight="15.75" x14ac:dyDescent="0.25"/>
  <cols>
    <col min="1" max="15" width="8.77734375" style="70"/>
    <col min="16" max="17" width="9.21875" style="70" customWidth="1"/>
    <col min="18" max="16384" width="8.77734375" style="70"/>
  </cols>
  <sheetData>
    <row r="1" spans="1:19" ht="15.6" customHeight="1" x14ac:dyDescent="0.25">
      <c r="A1" s="304" t="s">
        <v>0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6"/>
    </row>
    <row r="2" spans="1:19" s="71" customFormat="1" ht="20.45" customHeight="1" x14ac:dyDescent="0.35">
      <c r="A2" s="307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9"/>
    </row>
    <row r="3" spans="1:19" ht="15.6" customHeight="1" x14ac:dyDescent="0.25">
      <c r="A3" s="307"/>
      <c r="B3" s="308"/>
      <c r="C3" s="308"/>
      <c r="D3" s="308"/>
      <c r="E3" s="308"/>
      <c r="F3" s="308"/>
      <c r="G3" s="308"/>
      <c r="H3" s="308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9"/>
    </row>
    <row r="4" spans="1:19" ht="15.6" customHeight="1" x14ac:dyDescent="0.25">
      <c r="A4" s="310"/>
      <c r="B4" s="311"/>
      <c r="C4" s="311"/>
      <c r="D4" s="311"/>
      <c r="E4" s="311"/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2"/>
    </row>
    <row r="5" spans="1:19" x14ac:dyDescent="0.25">
      <c r="A5" s="185"/>
      <c r="S5" s="186"/>
    </row>
    <row r="6" spans="1:19" s="72" customFormat="1" ht="21.75" thickBot="1" x14ac:dyDescent="0.4">
      <c r="A6" s="187"/>
      <c r="B6" s="313"/>
      <c r="C6" s="313"/>
      <c r="D6" s="279"/>
      <c r="E6" s="314"/>
      <c r="F6" s="314"/>
      <c r="G6" s="279"/>
      <c r="H6" s="315"/>
      <c r="I6" s="315"/>
      <c r="J6" s="279"/>
      <c r="K6" s="316"/>
      <c r="L6" s="316"/>
      <c r="M6" s="279"/>
      <c r="N6" s="317"/>
      <c r="O6" s="317"/>
      <c r="P6" s="279"/>
      <c r="Q6" s="318"/>
      <c r="R6" s="318"/>
      <c r="S6" s="188"/>
    </row>
    <row r="7" spans="1:19" x14ac:dyDescent="0.25">
      <c r="A7" s="185"/>
      <c r="S7" s="186"/>
    </row>
    <row r="8" spans="1:19" x14ac:dyDescent="0.25">
      <c r="A8" s="185"/>
      <c r="S8" s="186"/>
    </row>
    <row r="9" spans="1:19" x14ac:dyDescent="0.25">
      <c r="A9" s="185"/>
      <c r="S9" s="186"/>
    </row>
    <row r="10" spans="1:19" x14ac:dyDescent="0.25">
      <c r="A10" s="185"/>
      <c r="S10" s="186"/>
    </row>
    <row r="11" spans="1:19" x14ac:dyDescent="0.25">
      <c r="A11" s="185"/>
      <c r="S11" s="186"/>
    </row>
    <row r="12" spans="1:19" ht="21" x14ac:dyDescent="0.35">
      <c r="A12" s="185"/>
      <c r="B12" s="279"/>
      <c r="K12" s="279"/>
      <c r="S12" s="186"/>
    </row>
    <row r="13" spans="1:19" x14ac:dyDescent="0.25">
      <c r="A13" s="185"/>
      <c r="S13" s="186"/>
    </row>
    <row r="14" spans="1:19" ht="18.75" x14ac:dyDescent="0.3">
      <c r="A14" s="185"/>
      <c r="B14" s="280"/>
      <c r="C14" s="280"/>
      <c r="D14" s="280"/>
      <c r="E14" s="280"/>
      <c r="F14" s="280"/>
      <c r="G14" s="280"/>
      <c r="H14" s="280"/>
      <c r="I14" s="280"/>
      <c r="K14" s="301"/>
      <c r="L14" s="301"/>
      <c r="M14" s="301"/>
      <c r="N14" s="301"/>
      <c r="O14" s="301"/>
      <c r="P14" s="301"/>
      <c r="Q14" s="301"/>
      <c r="R14" s="301"/>
      <c r="S14" s="186"/>
    </row>
    <row r="15" spans="1:19" x14ac:dyDescent="0.25">
      <c r="A15" s="185"/>
      <c r="B15" s="281"/>
      <c r="C15" s="281"/>
      <c r="D15" s="281"/>
      <c r="E15" s="281"/>
      <c r="F15" s="73"/>
      <c r="G15" s="73"/>
      <c r="H15" s="74"/>
      <c r="I15" s="74"/>
      <c r="K15" s="281"/>
      <c r="L15" s="281"/>
      <c r="M15" s="281"/>
      <c r="N15" s="281"/>
      <c r="O15" s="281"/>
      <c r="P15" s="281"/>
      <c r="Q15" s="319"/>
      <c r="R15" s="319"/>
      <c r="S15" s="186"/>
    </row>
    <row r="16" spans="1:19" x14ac:dyDescent="0.25">
      <c r="A16" s="185"/>
      <c r="B16" s="281"/>
      <c r="C16" s="281"/>
      <c r="D16" s="281"/>
      <c r="E16" s="281"/>
      <c r="F16" s="73"/>
      <c r="G16" s="73"/>
      <c r="I16" s="74"/>
      <c r="K16" s="281"/>
      <c r="L16" s="281"/>
      <c r="M16" s="281"/>
      <c r="N16" s="281"/>
      <c r="O16" s="281"/>
      <c r="P16" s="281"/>
      <c r="Q16" s="319"/>
      <c r="R16" s="319"/>
      <c r="S16" s="186"/>
    </row>
    <row r="17" spans="1:19" x14ac:dyDescent="0.25">
      <c r="A17" s="185"/>
      <c r="B17" s="281"/>
      <c r="C17" s="281"/>
      <c r="D17" s="281"/>
      <c r="E17" s="281"/>
      <c r="F17" s="73"/>
      <c r="G17" s="73"/>
      <c r="I17" s="282"/>
      <c r="K17" s="281"/>
      <c r="L17" s="281"/>
      <c r="M17" s="281"/>
      <c r="N17" s="281"/>
      <c r="O17" s="281"/>
      <c r="P17" s="281"/>
      <c r="S17" s="186"/>
    </row>
    <row r="18" spans="1:19" x14ac:dyDescent="0.25">
      <c r="A18" s="185"/>
      <c r="B18" s="281"/>
      <c r="C18" s="281"/>
      <c r="D18" s="281"/>
      <c r="E18" s="281"/>
      <c r="F18" s="73"/>
      <c r="G18" s="73"/>
      <c r="H18" s="282"/>
      <c r="I18" s="282"/>
      <c r="K18" s="281"/>
      <c r="L18" s="281"/>
      <c r="M18" s="281"/>
      <c r="N18" s="281"/>
      <c r="O18" s="281"/>
      <c r="P18" s="281"/>
      <c r="Q18" s="281"/>
      <c r="R18" s="281"/>
      <c r="S18" s="186"/>
    </row>
    <row r="19" spans="1:19" ht="15.6" customHeight="1" x14ac:dyDescent="0.25">
      <c r="A19" s="185"/>
      <c r="B19" s="281"/>
      <c r="C19" s="281"/>
      <c r="D19" s="281"/>
      <c r="E19" s="281"/>
      <c r="F19" s="73"/>
      <c r="G19" s="73"/>
      <c r="H19" s="282"/>
      <c r="I19" s="282"/>
      <c r="K19" s="283"/>
      <c r="L19" s="283"/>
      <c r="M19" s="283"/>
      <c r="N19" s="283"/>
      <c r="O19" s="283"/>
      <c r="P19" s="283"/>
      <c r="Q19" s="283"/>
      <c r="R19" s="283"/>
      <c r="S19" s="186"/>
    </row>
    <row r="20" spans="1:19" ht="15.6" customHeight="1" x14ac:dyDescent="0.25">
      <c r="A20" s="185"/>
      <c r="B20" s="281"/>
      <c r="C20" s="281"/>
      <c r="D20" s="281"/>
      <c r="E20" s="281"/>
      <c r="F20" s="73"/>
      <c r="G20" s="73"/>
      <c r="H20" s="282"/>
      <c r="I20" s="282"/>
      <c r="K20" s="283"/>
      <c r="L20" s="283"/>
      <c r="M20" s="283"/>
      <c r="N20" s="283"/>
      <c r="O20" s="283"/>
      <c r="P20" s="283"/>
      <c r="Q20" s="283"/>
      <c r="R20" s="283"/>
      <c r="S20" s="186"/>
    </row>
    <row r="21" spans="1:19" x14ac:dyDescent="0.25">
      <c r="A21" s="185"/>
      <c r="S21" s="186"/>
    </row>
    <row r="22" spans="1:19" ht="21" x14ac:dyDescent="0.35">
      <c r="A22" s="185"/>
      <c r="K22" s="279"/>
      <c r="S22" s="186"/>
    </row>
    <row r="23" spans="1:19" x14ac:dyDescent="0.25">
      <c r="A23" s="185"/>
      <c r="S23" s="186"/>
    </row>
    <row r="24" spans="1:19" x14ac:dyDescent="0.25">
      <c r="A24" s="185"/>
      <c r="S24" s="186"/>
    </row>
    <row r="25" spans="1:19" x14ac:dyDescent="0.25">
      <c r="A25" s="185"/>
      <c r="S25" s="186"/>
    </row>
    <row r="26" spans="1:19" s="75" customFormat="1" ht="18.75" x14ac:dyDescent="0.3">
      <c r="A26" s="189"/>
      <c r="K26" s="280"/>
      <c r="L26" s="280"/>
      <c r="M26" s="280"/>
      <c r="N26" s="280"/>
      <c r="O26" s="280"/>
      <c r="P26" s="280"/>
      <c r="Q26" s="280"/>
      <c r="R26" s="280"/>
      <c r="S26" s="186"/>
    </row>
    <row r="27" spans="1:19" x14ac:dyDescent="0.25">
      <c r="A27" s="185"/>
      <c r="K27" s="281"/>
      <c r="L27" s="281"/>
      <c r="M27" s="281"/>
      <c r="N27" s="281"/>
      <c r="O27" s="281"/>
      <c r="P27" s="281"/>
      <c r="Q27" s="281"/>
      <c r="R27" s="76"/>
      <c r="S27" s="186"/>
    </row>
    <row r="28" spans="1:19" x14ac:dyDescent="0.25">
      <c r="A28" s="185"/>
      <c r="K28" s="281"/>
      <c r="L28" s="281"/>
      <c r="M28" s="281"/>
      <c r="N28" s="281"/>
      <c r="O28" s="281"/>
      <c r="P28" s="281"/>
      <c r="Q28" s="281"/>
      <c r="R28" s="76"/>
      <c r="S28" s="186"/>
    </row>
    <row r="29" spans="1:19" x14ac:dyDescent="0.25">
      <c r="A29" s="185"/>
      <c r="K29" s="281"/>
      <c r="L29" s="281"/>
      <c r="M29" s="281"/>
      <c r="N29" s="281"/>
      <c r="O29" s="281"/>
      <c r="P29" s="281"/>
      <c r="Q29" s="281"/>
      <c r="R29" s="76"/>
      <c r="S29" s="186"/>
    </row>
    <row r="30" spans="1:19" x14ac:dyDescent="0.25">
      <c r="A30" s="185"/>
      <c r="K30" s="281"/>
      <c r="L30" s="281"/>
      <c r="M30" s="281"/>
      <c r="N30" s="281"/>
      <c r="O30" s="281"/>
      <c r="P30" s="281"/>
      <c r="Q30" s="281"/>
      <c r="R30" s="76"/>
      <c r="S30" s="186"/>
    </row>
    <row r="31" spans="1:19" x14ac:dyDescent="0.25">
      <c r="A31" s="185"/>
      <c r="K31" s="281"/>
      <c r="L31" s="281"/>
      <c r="M31" s="281"/>
      <c r="N31" s="281"/>
      <c r="O31" s="281"/>
      <c r="P31" s="281"/>
      <c r="Q31" s="281"/>
      <c r="R31" s="76"/>
      <c r="S31" s="186"/>
    </row>
    <row r="32" spans="1:19" x14ac:dyDescent="0.25">
      <c r="A32" s="185"/>
      <c r="K32" s="281"/>
      <c r="L32" s="281"/>
      <c r="M32" s="281"/>
      <c r="N32" s="281"/>
      <c r="O32" s="281"/>
      <c r="P32" s="281"/>
      <c r="Q32" s="281"/>
      <c r="R32" s="76"/>
      <c r="S32" s="186"/>
    </row>
    <row r="33" spans="1:19" x14ac:dyDescent="0.25">
      <c r="A33" s="185"/>
      <c r="K33" s="281"/>
      <c r="L33" s="281"/>
      <c r="M33" s="281"/>
      <c r="N33" s="281"/>
      <c r="O33" s="281"/>
      <c r="P33" s="281"/>
      <c r="Q33" s="281"/>
      <c r="R33" s="76"/>
      <c r="S33" s="186"/>
    </row>
    <row r="34" spans="1:19" x14ac:dyDescent="0.25">
      <c r="A34" s="185"/>
      <c r="K34" s="281"/>
      <c r="L34" s="281"/>
      <c r="M34" s="281"/>
      <c r="N34" s="281"/>
      <c r="O34" s="281"/>
      <c r="P34" s="281"/>
      <c r="Q34" s="281"/>
      <c r="R34" s="76"/>
      <c r="S34" s="186"/>
    </row>
    <row r="35" spans="1:19" x14ac:dyDescent="0.25">
      <c r="A35" s="299"/>
      <c r="B35" s="300"/>
      <c r="C35" s="300"/>
      <c r="D35" s="300"/>
      <c r="I35" s="303" t="s">
        <v>1</v>
      </c>
      <c r="J35" s="303"/>
      <c r="K35" s="303"/>
      <c r="L35" s="303"/>
      <c r="M35" s="281"/>
      <c r="N35" s="281"/>
      <c r="O35" s="281"/>
      <c r="P35" s="281"/>
      <c r="Q35" s="281"/>
      <c r="R35" s="76"/>
      <c r="S35" s="186"/>
    </row>
    <row r="36" spans="1:19" x14ac:dyDescent="0.25">
      <c r="A36" s="185"/>
      <c r="Q36" s="281"/>
      <c r="R36" s="76"/>
      <c r="S36" s="186"/>
    </row>
    <row r="37" spans="1:19" x14ac:dyDescent="0.25">
      <c r="A37" s="185" t="s">
        <v>2</v>
      </c>
      <c r="K37" s="281"/>
      <c r="L37" s="284"/>
      <c r="M37" s="281"/>
      <c r="N37" s="281"/>
      <c r="O37" s="281"/>
      <c r="P37" s="281"/>
      <c r="Q37" s="281"/>
      <c r="R37" s="76"/>
      <c r="S37" s="186"/>
    </row>
    <row r="38" spans="1:19" ht="15.6" customHeight="1" x14ac:dyDescent="0.25">
      <c r="A38" s="185"/>
      <c r="B38" s="285"/>
      <c r="C38" s="285"/>
      <c r="D38" s="285"/>
      <c r="E38" s="285"/>
      <c r="F38" s="285"/>
      <c r="G38" s="285"/>
      <c r="H38" s="285"/>
      <c r="K38" s="302"/>
      <c r="L38" s="302"/>
      <c r="M38" s="302"/>
      <c r="N38" s="302"/>
      <c r="P38" s="281"/>
      <c r="Q38" s="281"/>
      <c r="R38" s="76"/>
      <c r="S38" s="186"/>
    </row>
    <row r="39" spans="1:19" ht="15.6" customHeight="1" x14ac:dyDescent="0.25">
      <c r="A39" s="185"/>
      <c r="B39" s="285"/>
      <c r="C39" s="285"/>
      <c r="D39" s="285"/>
      <c r="E39" s="285"/>
      <c r="F39" s="285"/>
      <c r="G39" s="285"/>
      <c r="H39" s="285"/>
      <c r="I39" s="285"/>
      <c r="K39" s="281"/>
      <c r="L39" s="281"/>
      <c r="M39" s="281"/>
      <c r="N39" s="281"/>
      <c r="O39" s="281"/>
      <c r="P39" s="281"/>
      <c r="Q39" s="281"/>
      <c r="R39" s="76"/>
      <c r="S39" s="186"/>
    </row>
    <row r="40" spans="1:19" x14ac:dyDescent="0.25">
      <c r="A40" s="185"/>
      <c r="K40" s="281"/>
      <c r="L40" s="281"/>
      <c r="M40" s="281"/>
      <c r="N40" s="281"/>
      <c r="O40" s="281"/>
      <c r="P40" s="281"/>
      <c r="R40" s="76"/>
      <c r="S40" s="186"/>
    </row>
    <row r="41" spans="1:19" x14ac:dyDescent="0.25">
      <c r="A41" s="185"/>
      <c r="K41" s="281"/>
      <c r="L41" s="281"/>
      <c r="M41" s="281"/>
      <c r="N41" s="281"/>
      <c r="O41" s="281"/>
      <c r="P41" s="281"/>
      <c r="R41" s="76"/>
      <c r="S41" s="186"/>
    </row>
    <row r="42" spans="1:19" ht="18.75" x14ac:dyDescent="0.3">
      <c r="A42" s="185"/>
      <c r="B42" s="280"/>
      <c r="C42" s="280"/>
      <c r="D42" s="280"/>
      <c r="E42" s="280"/>
      <c r="F42" s="280"/>
      <c r="G42" s="280"/>
      <c r="H42" s="280"/>
      <c r="I42" s="280"/>
      <c r="K42" s="281"/>
      <c r="L42" s="281"/>
      <c r="M42" s="281"/>
      <c r="N42" s="281"/>
      <c r="O42" s="281"/>
      <c r="P42" s="281"/>
      <c r="R42" s="76"/>
      <c r="S42" s="186"/>
    </row>
    <row r="43" spans="1:19" x14ac:dyDescent="0.25">
      <c r="A43" s="185"/>
      <c r="B43" s="281"/>
      <c r="C43" s="281"/>
      <c r="D43" s="281"/>
      <c r="E43" s="281"/>
      <c r="F43" s="281"/>
      <c r="G43" s="281"/>
      <c r="H43" s="281"/>
      <c r="I43" s="76"/>
      <c r="K43" s="281"/>
      <c r="L43" s="281"/>
      <c r="M43" s="281"/>
      <c r="N43" s="281"/>
      <c r="O43" s="281"/>
      <c r="P43" s="281"/>
      <c r="R43" s="76"/>
      <c r="S43" s="186"/>
    </row>
    <row r="44" spans="1:19" x14ac:dyDescent="0.25">
      <c r="A44" s="185"/>
      <c r="B44" s="281"/>
      <c r="C44" s="281"/>
      <c r="D44" s="281"/>
      <c r="E44" s="281"/>
      <c r="F44" s="281"/>
      <c r="G44" s="281"/>
      <c r="H44" s="281"/>
      <c r="I44" s="76"/>
      <c r="K44" s="281"/>
      <c r="L44" s="281"/>
      <c r="M44" s="281"/>
      <c r="N44" s="281"/>
      <c r="O44" s="281"/>
      <c r="P44" s="281"/>
      <c r="R44" s="76"/>
      <c r="S44" s="186"/>
    </row>
    <row r="45" spans="1:19" x14ac:dyDescent="0.25">
      <c r="A45" s="185"/>
      <c r="B45" s="281"/>
      <c r="C45" s="281"/>
      <c r="D45" s="281"/>
      <c r="E45" s="281"/>
      <c r="F45" s="281"/>
      <c r="G45" s="281"/>
      <c r="H45" s="281"/>
      <c r="I45" s="76"/>
      <c r="K45" s="281"/>
      <c r="L45" s="281"/>
      <c r="M45" s="281"/>
      <c r="N45" s="281"/>
      <c r="O45" s="281"/>
      <c r="P45" s="281"/>
      <c r="R45" s="76"/>
      <c r="S45" s="186"/>
    </row>
    <row r="46" spans="1:19" x14ac:dyDescent="0.25">
      <c r="A46" s="185"/>
      <c r="B46" s="281"/>
      <c r="C46" s="281"/>
      <c r="D46" s="281"/>
      <c r="E46" s="281"/>
      <c r="F46" s="281"/>
      <c r="G46" s="281"/>
      <c r="H46" s="281"/>
      <c r="I46" s="76"/>
      <c r="K46" s="281"/>
      <c r="L46" s="281"/>
      <c r="M46" s="281"/>
      <c r="N46" s="281"/>
      <c r="O46" s="281"/>
      <c r="P46" s="281"/>
      <c r="R46" s="76"/>
      <c r="S46" s="186"/>
    </row>
    <row r="47" spans="1:19" x14ac:dyDescent="0.25">
      <c r="A47" s="185"/>
      <c r="B47" s="281"/>
      <c r="C47" s="281"/>
      <c r="D47" s="281"/>
      <c r="E47" s="281"/>
      <c r="F47" s="281"/>
      <c r="G47" s="281"/>
      <c r="H47" s="281"/>
      <c r="I47" s="76"/>
      <c r="K47" s="281"/>
      <c r="L47" s="281"/>
      <c r="M47" s="281"/>
      <c r="N47" s="281"/>
      <c r="O47" s="281"/>
      <c r="P47" s="281"/>
      <c r="R47" s="76"/>
      <c r="S47" s="186"/>
    </row>
    <row r="48" spans="1:19" x14ac:dyDescent="0.25">
      <c r="A48" s="185"/>
      <c r="B48" s="281"/>
      <c r="C48" s="281"/>
      <c r="D48" s="281"/>
      <c r="E48" s="281"/>
      <c r="F48" s="281"/>
      <c r="G48" s="281"/>
      <c r="H48" s="281"/>
      <c r="I48" s="76"/>
      <c r="K48" s="281"/>
      <c r="L48" s="281"/>
      <c r="M48" s="281"/>
      <c r="N48" s="281"/>
      <c r="O48" s="281"/>
      <c r="P48" s="281"/>
      <c r="R48" s="76"/>
      <c r="S48" s="186"/>
    </row>
    <row r="49" spans="1:19" x14ac:dyDescent="0.25">
      <c r="A49" s="185"/>
      <c r="B49" s="281"/>
      <c r="C49" s="281"/>
      <c r="D49" s="281"/>
      <c r="E49" s="281"/>
      <c r="F49" s="281"/>
      <c r="G49" s="281"/>
      <c r="H49" s="281"/>
      <c r="I49" s="76"/>
      <c r="K49" s="281"/>
      <c r="L49" s="281"/>
      <c r="M49" s="281"/>
      <c r="N49" s="281"/>
      <c r="O49" s="281"/>
      <c r="P49" s="281"/>
      <c r="R49" s="76"/>
      <c r="S49" s="186"/>
    </row>
    <row r="50" spans="1:19" x14ac:dyDescent="0.25">
      <c r="A50" s="185"/>
      <c r="B50" s="281"/>
      <c r="C50" s="281"/>
      <c r="D50" s="281"/>
      <c r="E50" s="281"/>
      <c r="F50" s="281"/>
      <c r="G50" s="281"/>
      <c r="H50" s="281"/>
      <c r="I50" s="76"/>
      <c r="K50" s="281"/>
      <c r="L50" s="281"/>
      <c r="M50" s="281"/>
      <c r="N50" s="281"/>
      <c r="O50" s="281"/>
      <c r="P50" s="281"/>
      <c r="R50" s="76"/>
      <c r="S50" s="186"/>
    </row>
    <row r="51" spans="1:19" x14ac:dyDescent="0.25">
      <c r="A51" s="185"/>
      <c r="B51" s="281"/>
      <c r="C51" s="281"/>
      <c r="D51" s="281"/>
      <c r="E51" s="281"/>
      <c r="F51" s="281"/>
      <c r="G51" s="281"/>
      <c r="H51" s="281"/>
      <c r="I51" s="76"/>
      <c r="K51" s="281"/>
      <c r="L51" s="281"/>
      <c r="M51" s="281"/>
      <c r="N51" s="281"/>
      <c r="O51" s="281"/>
      <c r="P51" s="281"/>
      <c r="R51" s="76"/>
      <c r="S51" s="186"/>
    </row>
    <row r="52" spans="1:19" x14ac:dyDescent="0.25">
      <c r="A52" s="185"/>
      <c r="B52" s="281"/>
      <c r="C52" s="281"/>
      <c r="D52" s="281"/>
      <c r="E52" s="281"/>
      <c r="F52" s="281"/>
      <c r="G52" s="281"/>
      <c r="H52" s="281"/>
      <c r="I52" s="76"/>
      <c r="K52" s="281"/>
      <c r="L52" s="281"/>
      <c r="M52" s="281"/>
      <c r="N52" s="281"/>
      <c r="O52" s="281"/>
      <c r="P52" s="281"/>
      <c r="R52" s="76"/>
      <c r="S52" s="186"/>
    </row>
    <row r="53" spans="1:19" x14ac:dyDescent="0.25">
      <c r="A53" s="185"/>
      <c r="B53" s="281"/>
      <c r="C53" s="281"/>
      <c r="D53" s="281"/>
      <c r="E53" s="281"/>
      <c r="F53" s="281"/>
      <c r="G53" s="281"/>
      <c r="H53" s="281"/>
      <c r="I53" s="76"/>
      <c r="K53" s="281"/>
      <c r="L53" s="281"/>
      <c r="M53" s="281"/>
      <c r="N53" s="281"/>
      <c r="O53" s="281"/>
      <c r="P53" s="281"/>
      <c r="R53" s="76"/>
      <c r="S53" s="186"/>
    </row>
    <row r="54" spans="1:19" x14ac:dyDescent="0.25">
      <c r="A54" s="185"/>
      <c r="B54" s="281"/>
      <c r="C54" s="281"/>
      <c r="D54" s="281"/>
      <c r="E54" s="281"/>
      <c r="F54" s="281"/>
      <c r="G54" s="281"/>
      <c r="H54" s="281"/>
      <c r="I54" s="76"/>
      <c r="K54" s="281"/>
      <c r="L54" s="281"/>
      <c r="M54" s="281"/>
      <c r="N54" s="281"/>
      <c r="O54" s="281"/>
      <c r="P54" s="281"/>
      <c r="R54" s="76"/>
      <c r="S54" s="186"/>
    </row>
    <row r="55" spans="1:19" x14ac:dyDescent="0.25">
      <c r="A55" s="185"/>
      <c r="B55" s="281"/>
      <c r="C55" s="281"/>
      <c r="D55" s="281"/>
      <c r="E55" s="281"/>
      <c r="F55" s="281"/>
      <c r="G55" s="281"/>
      <c r="H55" s="281"/>
      <c r="I55" s="76"/>
      <c r="K55" s="281"/>
      <c r="L55" s="281"/>
      <c r="M55" s="281"/>
      <c r="N55" s="281"/>
      <c r="O55" s="281"/>
      <c r="P55" s="281"/>
      <c r="R55" s="76"/>
      <c r="S55" s="186"/>
    </row>
    <row r="56" spans="1:19" x14ac:dyDescent="0.25">
      <c r="A56" s="185"/>
      <c r="S56" s="186"/>
    </row>
    <row r="57" spans="1:19" x14ac:dyDescent="0.25">
      <c r="A57" s="185"/>
      <c r="S57" s="186"/>
    </row>
    <row r="58" spans="1:19" x14ac:dyDescent="0.25">
      <c r="A58" s="185"/>
      <c r="S58" s="186"/>
    </row>
    <row r="59" spans="1:19" x14ac:dyDescent="0.25">
      <c r="A59" s="185"/>
      <c r="S59" s="186"/>
    </row>
    <row r="60" spans="1:19" x14ac:dyDescent="0.25">
      <c r="A60" s="185"/>
      <c r="S60" s="186"/>
    </row>
    <row r="61" spans="1:19" x14ac:dyDescent="0.25">
      <c r="A61" s="185"/>
      <c r="S61" s="186"/>
    </row>
    <row r="62" spans="1:19" x14ac:dyDescent="0.25">
      <c r="A62" s="185"/>
      <c r="S62" s="186"/>
    </row>
    <row r="63" spans="1:19" x14ac:dyDescent="0.25">
      <c r="A63" s="185"/>
      <c r="S63" s="186"/>
    </row>
    <row r="64" spans="1:19" x14ac:dyDescent="0.25">
      <c r="A64" s="185"/>
      <c r="S64" s="186"/>
    </row>
    <row r="65" spans="1:19" x14ac:dyDescent="0.25">
      <c r="A65" s="185"/>
      <c r="S65" s="186"/>
    </row>
    <row r="66" spans="1:19" x14ac:dyDescent="0.25">
      <c r="A66" s="185"/>
      <c r="S66" s="186"/>
    </row>
    <row r="67" spans="1:19" x14ac:dyDescent="0.25">
      <c r="A67" s="185"/>
      <c r="S67" s="186"/>
    </row>
    <row r="68" spans="1:19" x14ac:dyDescent="0.25">
      <c r="A68" s="185"/>
      <c r="S68" s="186"/>
    </row>
    <row r="69" spans="1:19" x14ac:dyDescent="0.25">
      <c r="A69" s="185"/>
      <c r="S69" s="186"/>
    </row>
    <row r="70" spans="1:19" x14ac:dyDescent="0.25">
      <c r="A70" s="185"/>
      <c r="S70" s="186"/>
    </row>
    <row r="71" spans="1:19" x14ac:dyDescent="0.25">
      <c r="A71" s="185"/>
      <c r="S71" s="186"/>
    </row>
    <row r="72" spans="1:19" x14ac:dyDescent="0.25">
      <c r="A72" s="185"/>
      <c r="S72" s="186"/>
    </row>
    <row r="73" spans="1:19" x14ac:dyDescent="0.25">
      <c r="A73" s="185"/>
      <c r="S73" s="186"/>
    </row>
    <row r="74" spans="1:19" x14ac:dyDescent="0.25">
      <c r="A74" s="185"/>
      <c r="S74" s="186"/>
    </row>
    <row r="75" spans="1:19" x14ac:dyDescent="0.25">
      <c r="A75" s="185"/>
      <c r="S75" s="186"/>
    </row>
    <row r="76" spans="1:19" x14ac:dyDescent="0.25">
      <c r="A76" s="185"/>
      <c r="S76" s="186"/>
    </row>
    <row r="77" spans="1:19" x14ac:dyDescent="0.25">
      <c r="A77" s="190"/>
      <c r="B77" s="191"/>
      <c r="C77" s="191"/>
      <c r="D77" s="191"/>
      <c r="E77" s="191"/>
      <c r="F77" s="191"/>
      <c r="G77" s="191"/>
      <c r="H77" s="191"/>
      <c r="I77" s="191"/>
      <c r="J77" s="191"/>
      <c r="K77" s="191"/>
      <c r="L77" s="191"/>
      <c r="M77" s="191"/>
      <c r="N77" s="191"/>
      <c r="O77" s="191"/>
      <c r="P77" s="191"/>
      <c r="Q77" s="191"/>
      <c r="R77" s="191"/>
      <c r="S77" s="192"/>
    </row>
  </sheetData>
  <mergeCells count="14">
    <mergeCell ref="A35:D35"/>
    <mergeCell ref="K14:P14"/>
    <mergeCell ref="K38:N38"/>
    <mergeCell ref="I35:L35"/>
    <mergeCell ref="A1:S4"/>
    <mergeCell ref="B6:C6"/>
    <mergeCell ref="E6:F6"/>
    <mergeCell ref="H6:I6"/>
    <mergeCell ref="K6:L6"/>
    <mergeCell ref="N6:O6"/>
    <mergeCell ref="Q6:R6"/>
    <mergeCell ref="Q16:R16"/>
    <mergeCell ref="Q14:R14"/>
    <mergeCell ref="Q15:R15"/>
  </mergeCells>
  <conditionalFormatting sqref="I43:I55">
    <cfRule type="expression" dxfId="4" priority="3">
      <formula>I43=0</formula>
    </cfRule>
    <cfRule type="expression" dxfId="3" priority="4">
      <formula>I43&lt;1</formula>
    </cfRule>
  </conditionalFormatting>
  <conditionalFormatting sqref="R27:R55">
    <cfRule type="expression" dxfId="2" priority="1">
      <formula>R27=0</formula>
    </cfRule>
    <cfRule type="expression" dxfId="1" priority="2">
      <formula>R27&lt;1</formula>
    </cfRule>
  </conditionalFormatting>
  <pageMargins left="0.7" right="0.7" top="0.75" bottom="0.75" header="0.3" footer="0.3"/>
  <pageSetup scale="44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3:G11"/>
  <sheetViews>
    <sheetView workbookViewId="0">
      <selection activeCell="E21" sqref="E21"/>
    </sheetView>
  </sheetViews>
  <sheetFormatPr defaultColWidth="8.77734375" defaultRowHeight="15.75" x14ac:dyDescent="0.25"/>
  <cols>
    <col min="1" max="1" width="8.77734375" style="15"/>
    <col min="2" max="2" width="30.44140625" style="15" bestFit="1" customWidth="1"/>
    <col min="3" max="3" width="15" style="15" bestFit="1" customWidth="1"/>
    <col min="4" max="4" width="14.5546875" style="15" bestFit="1" customWidth="1"/>
    <col min="5" max="5" width="16.5546875" style="15" bestFit="1" customWidth="1"/>
    <col min="6" max="6" width="34.88671875" style="15" bestFit="1" customWidth="1"/>
    <col min="7" max="7" width="24" style="66" bestFit="1" customWidth="1"/>
    <col min="8" max="16384" width="8.77734375" style="15"/>
  </cols>
  <sheetData>
    <row r="3" spans="1:6" x14ac:dyDescent="0.25">
      <c r="A3" s="17" t="s">
        <v>3</v>
      </c>
    </row>
    <row r="4" spans="1:6" x14ac:dyDescent="0.25">
      <c r="B4" s="16" t="s">
        <v>4</v>
      </c>
      <c r="C4" s="16" t="s">
        <v>5</v>
      </c>
    </row>
    <row r="5" spans="1:6" x14ac:dyDescent="0.25">
      <c r="B5" s="15" t="s">
        <v>6</v>
      </c>
      <c r="C5" s="22" t="e">
        <f>'COST SUMMARY'!#REF!</f>
        <v>#REF!</v>
      </c>
      <c r="D5" s="18" t="e">
        <f t="shared" ref="D5:D10" si="0">C5/$C$11</f>
        <v>#REF!</v>
      </c>
    </row>
    <row r="6" spans="1:6" x14ac:dyDescent="0.25">
      <c r="B6" s="15" t="s">
        <v>7</v>
      </c>
      <c r="C6" s="22" t="e">
        <f>'COST SUMMARY'!#REF!</f>
        <v>#REF!</v>
      </c>
      <c r="D6" s="18" t="e">
        <f t="shared" si="0"/>
        <v>#REF!</v>
      </c>
      <c r="E6" s="16" t="s">
        <v>4</v>
      </c>
      <c r="F6" s="16" t="s">
        <v>8</v>
      </c>
    </row>
    <row r="7" spans="1:6" x14ac:dyDescent="0.25">
      <c r="B7" s="15" t="s">
        <v>9</v>
      </c>
      <c r="C7" s="22" t="e">
        <f>'COST SUMMARY'!#REF!</f>
        <v>#REF!</v>
      </c>
      <c r="D7" s="18" t="e">
        <f t="shared" si="0"/>
        <v>#REF!</v>
      </c>
      <c r="E7" s="15" t="s">
        <v>9</v>
      </c>
      <c r="F7" s="19" t="e">
        <f>C7/C5</f>
        <v>#REF!</v>
      </c>
    </row>
    <row r="8" spans="1:6" x14ac:dyDescent="0.25">
      <c r="B8" s="15" t="s">
        <v>10</v>
      </c>
      <c r="C8" s="22" t="e">
        <f>'COST SUMMARY'!#REF!</f>
        <v>#REF!</v>
      </c>
      <c r="D8" s="18" t="e">
        <f t="shared" si="0"/>
        <v>#REF!</v>
      </c>
      <c r="E8" s="15" t="s">
        <v>10</v>
      </c>
      <c r="F8" s="19" t="e">
        <f>C8/C5</f>
        <v>#REF!</v>
      </c>
    </row>
    <row r="9" spans="1:6" x14ac:dyDescent="0.25">
      <c r="B9" s="15" t="s">
        <v>11</v>
      </c>
      <c r="C9" s="22" t="e">
        <f>'COST SUMMARY'!#REF!</f>
        <v>#REF!</v>
      </c>
      <c r="D9" s="18" t="e">
        <f t="shared" si="0"/>
        <v>#REF!</v>
      </c>
      <c r="E9" s="15" t="s">
        <v>11</v>
      </c>
      <c r="F9" s="19" t="e">
        <f>C9/C6</f>
        <v>#REF!</v>
      </c>
    </row>
    <row r="10" spans="1:6" x14ac:dyDescent="0.25">
      <c r="B10" s="15" t="s">
        <v>12</v>
      </c>
      <c r="C10" s="22" t="e">
        <f>'COST SUMMARY'!#REF!</f>
        <v>#REF!</v>
      </c>
      <c r="D10" s="18" t="e">
        <f t="shared" si="0"/>
        <v>#REF!</v>
      </c>
      <c r="E10" s="15" t="s">
        <v>12</v>
      </c>
      <c r="F10" s="19" t="e">
        <f>C10/SUM(C4:C9)</f>
        <v>#REF!</v>
      </c>
    </row>
    <row r="11" spans="1:6" x14ac:dyDescent="0.25">
      <c r="C11" s="22" t="e">
        <f>SUM(C5:C10)</f>
        <v>#REF!</v>
      </c>
      <c r="E11" s="15" t="s">
        <v>13</v>
      </c>
      <c r="F11" s="18">
        <f>'COST SUMMARY'!L11</f>
        <v>0.05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theme="3" tint="0.39997558519241921"/>
    <pageSetUpPr fitToPage="1"/>
  </sheetPr>
  <dimension ref="A1:T15"/>
  <sheetViews>
    <sheetView view="pageBreakPreview" zoomScale="55" zoomScaleNormal="60" zoomScaleSheetLayoutView="55" workbookViewId="0">
      <selection activeCell="G9" sqref="G9"/>
    </sheetView>
  </sheetViews>
  <sheetFormatPr defaultColWidth="8.88671875" defaultRowHeight="15.75" x14ac:dyDescent="0.2"/>
  <cols>
    <col min="1" max="1" width="7.33203125" style="1" customWidth="1"/>
    <col min="2" max="2" width="13.88671875" style="4" customWidth="1"/>
    <col min="3" max="3" width="34.6640625" style="4" customWidth="1"/>
    <col min="4" max="4" width="16" style="91" customWidth="1"/>
    <col min="5" max="5" width="14.44140625" style="5" bestFit="1" customWidth="1"/>
    <col min="6" max="6" width="15.33203125" style="5" customWidth="1"/>
    <col min="7" max="7" width="12.77734375" style="5" customWidth="1"/>
    <col min="8" max="8" width="7.44140625" style="4" customWidth="1"/>
    <col min="9" max="9" width="3.109375" style="4" customWidth="1"/>
    <col min="10" max="10" width="19.88671875" style="6" customWidth="1"/>
    <col min="11" max="11" width="18" style="6" customWidth="1"/>
    <col min="12" max="12" width="15.109375" style="6" customWidth="1"/>
    <col min="13" max="13" width="20.6640625" style="6" customWidth="1"/>
    <col min="14" max="14" width="14.6640625" style="6" customWidth="1"/>
    <col min="15" max="16" width="13" style="6" customWidth="1"/>
    <col min="17" max="17" width="5.109375" style="6" customWidth="1"/>
    <col min="18" max="18" width="17.88671875" style="6" customWidth="1"/>
    <col min="19" max="19" width="12" style="92" customWidth="1"/>
    <col min="20" max="20" width="8.88671875" style="1"/>
    <col min="21" max="21" width="10.33203125" style="1" bestFit="1" customWidth="1"/>
    <col min="22" max="16384" width="8.88671875" style="1"/>
  </cols>
  <sheetData>
    <row r="1" spans="1:20" ht="34.9" customHeight="1" x14ac:dyDescent="0.2">
      <c r="A1" s="321" t="s">
        <v>14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3"/>
      <c r="R1" s="1"/>
      <c r="S1" s="1"/>
    </row>
    <row r="2" spans="1:20" s="37" customFormat="1" ht="34.9" customHeight="1" x14ac:dyDescent="0.15">
      <c r="A2" s="324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6"/>
      <c r="R2" s="1"/>
      <c r="S2" s="1"/>
      <c r="T2" s="1"/>
    </row>
    <row r="3" spans="1:20" x14ac:dyDescent="0.2">
      <c r="A3" s="77"/>
      <c r="B3" s="136"/>
      <c r="C3" s="136"/>
      <c r="D3" s="193"/>
      <c r="E3" s="125"/>
      <c r="F3" s="125"/>
      <c r="G3" s="125"/>
      <c r="H3" s="136"/>
      <c r="I3" s="136"/>
      <c r="J3" s="194"/>
      <c r="K3" s="194"/>
      <c r="L3" s="194"/>
      <c r="M3" s="194"/>
      <c r="N3" s="194"/>
      <c r="O3" s="194"/>
      <c r="P3" s="194"/>
      <c r="Q3" s="78"/>
      <c r="R3" s="1"/>
      <c r="S3" s="1"/>
    </row>
    <row r="4" spans="1:20" ht="21" x14ac:dyDescent="0.35">
      <c r="A4" s="77"/>
      <c r="B4" s="136"/>
      <c r="C4" s="195" t="s">
        <v>15</v>
      </c>
      <c r="D4" s="134">
        <f>'BASE BID'!K4</f>
        <v>46065</v>
      </c>
      <c r="E4" s="125"/>
      <c r="F4" s="125"/>
      <c r="G4" s="125"/>
      <c r="H4" s="136"/>
      <c r="I4" s="136"/>
      <c r="J4" s="124"/>
      <c r="K4" s="195" t="s">
        <v>16</v>
      </c>
      <c r="L4" s="196" t="str">
        <f>'BASE BID'!K7</f>
        <v>Private (Non-Prevailing wage)</v>
      </c>
      <c r="M4" s="124"/>
      <c r="N4" s="124"/>
      <c r="O4" s="124"/>
      <c r="P4" s="124"/>
      <c r="Q4" s="79"/>
      <c r="R4" s="1"/>
      <c r="S4" s="1"/>
    </row>
    <row r="5" spans="1:20" ht="21" x14ac:dyDescent="0.35">
      <c r="A5" s="77"/>
      <c r="B5" s="136"/>
      <c r="C5" s="195" t="s">
        <v>17</v>
      </c>
      <c r="D5" s="197" t="str">
        <f>'BASE BID'!K5</f>
        <v>Intrust Bank-Topeka Branch</v>
      </c>
      <c r="E5" s="125"/>
      <c r="F5" s="125"/>
      <c r="G5" s="125"/>
      <c r="H5" s="136"/>
      <c r="I5" s="136"/>
      <c r="J5" s="124"/>
      <c r="K5" s="195" t="s">
        <v>18</v>
      </c>
      <c r="L5" s="198" t="s">
        <v>758</v>
      </c>
      <c r="M5" s="198"/>
      <c r="N5" s="198"/>
      <c r="O5" s="198"/>
      <c r="P5" s="198"/>
      <c r="Q5" s="79"/>
      <c r="R5" s="1"/>
      <c r="S5" s="1"/>
    </row>
    <row r="6" spans="1:20" ht="20.25" customHeight="1" x14ac:dyDescent="0.35">
      <c r="A6" s="77"/>
      <c r="B6" s="136"/>
      <c r="C6" s="199" t="s">
        <v>19</v>
      </c>
      <c r="D6" s="329" t="str">
        <f>'BASE BID'!K6</f>
        <v>1035 SW Topeka Blvd, Topeka, KS 66612</v>
      </c>
      <c r="E6" s="329"/>
      <c r="F6" s="329"/>
      <c r="G6" s="329"/>
      <c r="H6" s="329"/>
      <c r="I6" s="329"/>
      <c r="J6" s="124"/>
      <c r="K6" s="69" t="s">
        <v>20</v>
      </c>
      <c r="L6" s="80">
        <f>D10</f>
        <v>210273.42402272718</v>
      </c>
      <c r="M6" s="198"/>
      <c r="N6" s="198"/>
      <c r="O6" s="198"/>
      <c r="P6" s="198"/>
      <c r="Q6" s="79"/>
      <c r="R6" s="1"/>
      <c r="S6" s="1"/>
    </row>
    <row r="7" spans="1:20" ht="21" x14ac:dyDescent="0.35">
      <c r="A7" s="77"/>
      <c r="B7" s="136"/>
      <c r="C7" s="195"/>
      <c r="D7" s="329"/>
      <c r="E7" s="329"/>
      <c r="F7" s="329"/>
      <c r="G7" s="329"/>
      <c r="H7" s="329"/>
      <c r="I7" s="329"/>
      <c r="J7" s="124"/>
      <c r="K7" s="124"/>
      <c r="L7" s="124"/>
      <c r="M7" s="124"/>
      <c r="N7" s="124"/>
      <c r="O7" s="124"/>
      <c r="P7" s="124"/>
      <c r="Q7" s="78"/>
      <c r="R7" s="1"/>
      <c r="S7" s="1"/>
    </row>
    <row r="8" spans="1:20" ht="16.5" customHeight="1" x14ac:dyDescent="0.2">
      <c r="A8" s="77"/>
      <c r="B8" s="136"/>
      <c r="C8" s="136"/>
      <c r="D8" s="193"/>
      <c r="E8" s="125"/>
      <c r="F8" s="125"/>
      <c r="G8" s="125"/>
      <c r="H8" s="136"/>
      <c r="I8" s="136"/>
      <c r="J8" s="194"/>
      <c r="K8" s="194"/>
      <c r="L8" s="194"/>
      <c r="M8" s="194"/>
      <c r="N8" s="194"/>
      <c r="O8" s="124"/>
      <c r="P8" s="124"/>
      <c r="Q8" s="78"/>
      <c r="R8" s="1"/>
      <c r="S8" s="1"/>
    </row>
    <row r="9" spans="1:20" ht="49.15" customHeight="1" x14ac:dyDescent="0.2">
      <c r="A9" s="77"/>
      <c r="B9" s="328" t="s">
        <v>21</v>
      </c>
      <c r="C9" s="328"/>
      <c r="D9" s="208" t="s">
        <v>22</v>
      </c>
      <c r="E9" s="200"/>
      <c r="F9" s="125"/>
      <c r="G9" s="125"/>
      <c r="H9" s="124"/>
      <c r="I9" s="124"/>
      <c r="J9" s="332" t="s">
        <v>23</v>
      </c>
      <c r="K9" s="333"/>
      <c r="L9" s="334"/>
      <c r="M9" s="201"/>
      <c r="N9" s="201"/>
      <c r="O9" s="124"/>
      <c r="P9" s="124"/>
      <c r="Q9" s="78"/>
      <c r="R9" s="1"/>
      <c r="S9" s="1"/>
    </row>
    <row r="10" spans="1:20" s="81" customFormat="1" ht="78.599999999999994" customHeight="1" x14ac:dyDescent="0.2">
      <c r="A10" s="82"/>
      <c r="B10" s="330" t="s">
        <v>24</v>
      </c>
      <c r="C10" s="330"/>
      <c r="D10" s="209">
        <f>'BASE BID'!E9</f>
        <v>210273.42402272718</v>
      </c>
      <c r="E10" s="202"/>
      <c r="F10" s="203"/>
      <c r="G10" s="204"/>
      <c r="H10" s="204"/>
      <c r="I10" s="204"/>
      <c r="J10" s="335"/>
      <c r="K10" s="336"/>
      <c r="L10" s="337"/>
      <c r="M10" s="203"/>
      <c r="N10" s="203"/>
      <c r="O10" s="124"/>
      <c r="P10" s="124"/>
      <c r="Q10" s="78"/>
      <c r="R10" s="1"/>
      <c r="S10" s="1"/>
      <c r="T10" s="1"/>
    </row>
    <row r="11" spans="1:20" s="81" customFormat="1" ht="29.45" customHeight="1" x14ac:dyDescent="0.2">
      <c r="A11" s="82"/>
      <c r="B11" s="327" t="s">
        <v>25</v>
      </c>
      <c r="C11" s="327"/>
      <c r="D11" s="327"/>
      <c r="E11" s="200"/>
      <c r="F11" s="204"/>
      <c r="G11" s="204"/>
      <c r="H11" s="204"/>
      <c r="I11" s="204"/>
      <c r="J11" s="331" t="s">
        <v>26</v>
      </c>
      <c r="K11" s="331"/>
      <c r="L11" s="210">
        <v>0.05</v>
      </c>
      <c r="M11" s="203"/>
      <c r="N11" s="203"/>
      <c r="O11" s="124"/>
      <c r="P11" s="124"/>
      <c r="Q11" s="78"/>
      <c r="R11" s="1"/>
      <c r="S11" s="1"/>
      <c r="T11" s="1"/>
    </row>
    <row r="12" spans="1:20" s="81" customFormat="1" ht="29.45" customHeight="1" x14ac:dyDescent="0.2">
      <c r="A12" s="82"/>
      <c r="B12" s="320"/>
      <c r="C12" s="320"/>
      <c r="D12" s="83"/>
      <c r="E12" s="200"/>
      <c r="F12" s="205"/>
      <c r="G12" s="205"/>
      <c r="H12" s="206"/>
      <c r="I12" s="206"/>
      <c r="J12" s="206"/>
      <c r="K12" s="206"/>
      <c r="L12" s="206"/>
      <c r="M12" s="206"/>
      <c r="N12" s="207"/>
      <c r="O12" s="124"/>
      <c r="P12" s="124"/>
      <c r="Q12" s="78"/>
      <c r="R12" s="1"/>
      <c r="S12" s="1"/>
      <c r="T12" s="1"/>
    </row>
    <row r="13" spans="1:20" x14ac:dyDescent="0.2">
      <c r="A13" s="85"/>
      <c r="B13" s="86"/>
      <c r="C13" s="86"/>
      <c r="D13" s="87"/>
      <c r="E13" s="88"/>
      <c r="F13" s="88"/>
      <c r="G13" s="88"/>
      <c r="H13" s="86"/>
      <c r="I13" s="86"/>
      <c r="J13" s="89"/>
      <c r="K13" s="89"/>
      <c r="L13" s="89"/>
      <c r="M13" s="89"/>
      <c r="N13" s="89"/>
      <c r="O13" s="89"/>
      <c r="P13" s="89"/>
      <c r="Q13" s="90"/>
      <c r="R13" s="1"/>
      <c r="S13" s="1"/>
    </row>
    <row r="14" spans="1:20" x14ac:dyDescent="0.2">
      <c r="R14" s="1"/>
      <c r="S14" s="1"/>
    </row>
    <row r="15" spans="1:20" x14ac:dyDescent="0.2">
      <c r="R15" s="1"/>
      <c r="S15" s="1"/>
    </row>
  </sheetData>
  <mergeCells count="8">
    <mergeCell ref="B12:C12"/>
    <mergeCell ref="A1:Q2"/>
    <mergeCell ref="B11:D11"/>
    <mergeCell ref="B9:C9"/>
    <mergeCell ref="D6:I7"/>
    <mergeCell ref="B10:C10"/>
    <mergeCell ref="J11:K11"/>
    <mergeCell ref="J9:L10"/>
  </mergeCells>
  <phoneticPr fontId="53" type="noConversion"/>
  <conditionalFormatting sqref="D10 D12">
    <cfRule type="expression" dxfId="0" priority="6" stopIfTrue="1">
      <formula>#REF!&lt;&gt;SUM(#REF!)</formula>
    </cfRule>
  </conditionalFormatting>
  <hyperlinks>
    <hyperlink ref="B11" location="'HOURLY RATES'!A1" display="Hourly Rates" xr:uid="{00000000-0004-0000-0200-000000000000}"/>
    <hyperlink ref="B10:C10" location="'BASE BID'!A1" display="Base bid" xr:uid="{00000000-0004-0000-0200-000002000000}"/>
  </hyperlinks>
  <printOptions horizontalCentered="1"/>
  <pageMargins left="0.25" right="0.25" top="0.75" bottom="0.75" header="0.3" footer="0.3"/>
  <pageSetup paperSize="9" scale="31" fitToHeight="0" orientation="portrait" r:id="rId1"/>
  <headerFooter>
    <oddFooter>&amp;C&amp;P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>
    <tabColor theme="0"/>
    <pageSetUpPr fitToPage="1"/>
  </sheetPr>
  <dimension ref="B1:M126"/>
  <sheetViews>
    <sheetView zoomScale="70" zoomScaleNormal="70" workbookViewId="0">
      <selection activeCell="E16" sqref="E16"/>
    </sheetView>
  </sheetViews>
  <sheetFormatPr defaultColWidth="8.77734375" defaultRowHeight="15.75" x14ac:dyDescent="0.25"/>
  <cols>
    <col min="1" max="1" width="8.77734375" style="70"/>
    <col min="2" max="2" width="11.109375" style="70" customWidth="1"/>
    <col min="3" max="3" width="33.6640625" style="70" customWidth="1"/>
    <col min="4" max="4" width="14.5546875" style="70" bestFit="1" customWidth="1"/>
    <col min="5" max="16384" width="8.77734375" style="70"/>
  </cols>
  <sheetData>
    <row r="1" spans="2:13" ht="25.5" customHeight="1" x14ac:dyDescent="0.25">
      <c r="B1" s="211"/>
      <c r="C1" s="212"/>
      <c r="D1" s="212"/>
      <c r="E1" s="212"/>
      <c r="F1" s="212"/>
      <c r="G1" s="212"/>
      <c r="H1" s="212"/>
      <c r="I1" s="212"/>
      <c r="J1" s="213"/>
      <c r="K1" s="213"/>
      <c r="L1" s="213"/>
      <c r="M1" s="214"/>
    </row>
    <row r="2" spans="2:13" ht="16.5" customHeight="1" x14ac:dyDescent="0.25">
      <c r="B2" s="338" t="s">
        <v>236</v>
      </c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40"/>
    </row>
    <row r="3" spans="2:13" ht="18" customHeight="1" thickBot="1" x14ac:dyDescent="0.3">
      <c r="B3" s="341"/>
      <c r="C3" s="342"/>
      <c r="D3" s="342"/>
      <c r="E3" s="342"/>
      <c r="F3" s="342"/>
      <c r="G3" s="342"/>
      <c r="H3" s="342"/>
      <c r="I3" s="342"/>
      <c r="J3" s="342"/>
      <c r="K3" s="342"/>
      <c r="L3" s="342"/>
      <c r="M3" s="343"/>
    </row>
    <row r="4" spans="2:13" ht="24.75" customHeight="1" thickBot="1" x14ac:dyDescent="0.3">
      <c r="B4" s="344" t="s">
        <v>237</v>
      </c>
      <c r="C4" s="345"/>
      <c r="D4" s="345"/>
      <c r="E4" s="346"/>
      <c r="F4" s="346"/>
      <c r="G4" s="346"/>
      <c r="H4" s="346"/>
      <c r="I4" s="346"/>
      <c r="J4" s="346"/>
      <c r="K4" s="346"/>
      <c r="L4" s="346"/>
      <c r="M4" s="347"/>
    </row>
    <row r="5" spans="2:13" ht="42" customHeight="1" thickBot="1" x14ac:dyDescent="0.3">
      <c r="B5" s="63" t="s">
        <v>238</v>
      </c>
      <c r="C5" s="63" t="s">
        <v>239</v>
      </c>
      <c r="D5" s="63" t="s">
        <v>240</v>
      </c>
      <c r="M5" s="186"/>
    </row>
    <row r="6" spans="2:13" ht="16.5" thickBot="1" x14ac:dyDescent="0.3">
      <c r="B6" s="11" t="s">
        <v>241</v>
      </c>
      <c r="C6" s="11" t="s">
        <v>28</v>
      </c>
      <c r="D6" s="223">
        <f>(44.05+20.25)*1.15</f>
        <v>73.944999999999993</v>
      </c>
      <c r="F6" s="348" t="s">
        <v>173</v>
      </c>
      <c r="G6" s="349"/>
      <c r="H6" s="349"/>
      <c r="I6" s="349"/>
      <c r="J6" s="350"/>
      <c r="M6" s="186"/>
    </row>
    <row r="7" spans="2:13" x14ac:dyDescent="0.25">
      <c r="B7" s="10" t="s">
        <v>37</v>
      </c>
      <c r="C7" s="11" t="s">
        <v>59</v>
      </c>
      <c r="D7" s="64">
        <v>10</v>
      </c>
      <c r="M7" s="186"/>
    </row>
    <row r="8" spans="2:13" x14ac:dyDescent="0.25">
      <c r="B8" s="10" t="s">
        <v>36</v>
      </c>
      <c r="C8" s="11" t="s">
        <v>60</v>
      </c>
      <c r="D8" s="64">
        <v>10</v>
      </c>
      <c r="M8" s="186"/>
    </row>
    <row r="9" spans="2:13" x14ac:dyDescent="0.25">
      <c r="B9" s="10" t="s">
        <v>38</v>
      </c>
      <c r="C9" s="11" t="s">
        <v>61</v>
      </c>
      <c r="D9" s="64">
        <v>10</v>
      </c>
      <c r="M9" s="186"/>
    </row>
    <row r="10" spans="2:13" x14ac:dyDescent="0.25">
      <c r="B10" s="10" t="s">
        <v>29</v>
      </c>
      <c r="C10" s="11" t="s">
        <v>62</v>
      </c>
      <c r="D10" s="64">
        <v>10</v>
      </c>
      <c r="M10" s="186"/>
    </row>
    <row r="11" spans="2:13" x14ac:dyDescent="0.25">
      <c r="B11" s="10" t="s">
        <v>37</v>
      </c>
      <c r="C11" s="11" t="s">
        <v>63</v>
      </c>
      <c r="D11" s="64">
        <v>10</v>
      </c>
      <c r="M11" s="186"/>
    </row>
    <row r="12" spans="2:13" x14ac:dyDescent="0.25">
      <c r="B12" s="10" t="s">
        <v>40</v>
      </c>
      <c r="C12" s="11" t="s">
        <v>64</v>
      </c>
      <c r="D12" s="64">
        <v>10</v>
      </c>
      <c r="M12" s="186"/>
    </row>
    <row r="13" spans="2:13" x14ac:dyDescent="0.25">
      <c r="B13" s="10" t="s">
        <v>33</v>
      </c>
      <c r="C13" s="11" t="s">
        <v>65</v>
      </c>
      <c r="D13" s="64">
        <v>10</v>
      </c>
      <c r="M13" s="186"/>
    </row>
    <row r="14" spans="2:13" x14ac:dyDescent="0.25">
      <c r="B14" s="10" t="s">
        <v>36</v>
      </c>
      <c r="C14" s="11" t="s">
        <v>66</v>
      </c>
      <c r="D14" s="64">
        <v>10</v>
      </c>
      <c r="M14" s="186"/>
    </row>
    <row r="15" spans="2:13" x14ac:dyDescent="0.25">
      <c r="B15" s="10" t="s">
        <v>34</v>
      </c>
      <c r="C15" s="11" t="s">
        <v>67</v>
      </c>
      <c r="D15" s="64">
        <v>10</v>
      </c>
      <c r="M15" s="186"/>
    </row>
    <row r="16" spans="2:13" x14ac:dyDescent="0.25">
      <c r="B16" s="10" t="s">
        <v>33</v>
      </c>
      <c r="C16" s="11" t="s">
        <v>68</v>
      </c>
      <c r="D16" s="64">
        <v>10</v>
      </c>
      <c r="M16" s="186"/>
    </row>
    <row r="17" spans="2:13" x14ac:dyDescent="0.25">
      <c r="B17" s="10" t="s">
        <v>33</v>
      </c>
      <c r="C17" s="11" t="s">
        <v>69</v>
      </c>
      <c r="D17" s="64">
        <v>10</v>
      </c>
      <c r="M17" s="186"/>
    </row>
    <row r="18" spans="2:13" x14ac:dyDescent="0.25">
      <c r="B18" s="10" t="s">
        <v>36</v>
      </c>
      <c r="C18" s="11" t="s">
        <v>70</v>
      </c>
      <c r="D18" s="64">
        <v>10</v>
      </c>
      <c r="M18" s="186"/>
    </row>
    <row r="19" spans="2:13" x14ac:dyDescent="0.25">
      <c r="B19" s="10" t="s">
        <v>51</v>
      </c>
      <c r="C19" s="11" t="s">
        <v>71</v>
      </c>
      <c r="D19" s="64">
        <v>10</v>
      </c>
      <c r="M19" s="186"/>
    </row>
    <row r="20" spans="2:13" x14ac:dyDescent="0.25">
      <c r="B20" s="10" t="s">
        <v>50</v>
      </c>
      <c r="C20" s="11" t="s">
        <v>72</v>
      </c>
      <c r="D20" s="223">
        <f>(44.05+20.25)*1.15</f>
        <v>73.944999999999993</v>
      </c>
      <c r="M20" s="186"/>
    </row>
    <row r="21" spans="2:13" x14ac:dyDescent="0.25">
      <c r="B21" s="10" t="s">
        <v>30</v>
      </c>
      <c r="C21" s="11" t="s">
        <v>73</v>
      </c>
      <c r="D21" s="64">
        <v>10</v>
      </c>
      <c r="M21" s="186"/>
    </row>
    <row r="22" spans="2:13" x14ac:dyDescent="0.25">
      <c r="B22" s="10" t="s">
        <v>40</v>
      </c>
      <c r="C22" s="11" t="s">
        <v>74</v>
      </c>
      <c r="D22" s="64">
        <v>10</v>
      </c>
      <c r="M22" s="186"/>
    </row>
    <row r="23" spans="2:13" x14ac:dyDescent="0.25">
      <c r="B23" s="10" t="s">
        <v>35</v>
      </c>
      <c r="C23" s="11" t="s">
        <v>75</v>
      </c>
      <c r="D23" s="64">
        <v>10</v>
      </c>
      <c r="M23" s="186"/>
    </row>
    <row r="24" spans="2:13" x14ac:dyDescent="0.25">
      <c r="B24" s="10" t="s">
        <v>29</v>
      </c>
      <c r="C24" s="11" t="s">
        <v>76</v>
      </c>
      <c r="D24" s="223">
        <v>54</v>
      </c>
      <c r="M24" s="186"/>
    </row>
    <row r="25" spans="2:13" x14ac:dyDescent="0.25">
      <c r="B25" s="10" t="s">
        <v>29</v>
      </c>
      <c r="C25" s="11" t="s">
        <v>77</v>
      </c>
      <c r="D25" s="64">
        <v>10</v>
      </c>
      <c r="M25" s="186"/>
    </row>
    <row r="26" spans="2:13" x14ac:dyDescent="0.25">
      <c r="B26" s="10" t="s">
        <v>51</v>
      </c>
      <c r="C26" s="11" t="s">
        <v>78</v>
      </c>
      <c r="D26" s="64">
        <v>10</v>
      </c>
      <c r="M26" s="186"/>
    </row>
    <row r="27" spans="2:13" x14ac:dyDescent="0.25">
      <c r="B27" s="10" t="s">
        <v>35</v>
      </c>
      <c r="C27" s="11" t="s">
        <v>79</v>
      </c>
      <c r="D27" s="64">
        <v>10</v>
      </c>
      <c r="M27" s="186"/>
    </row>
    <row r="28" spans="2:13" x14ac:dyDescent="0.25">
      <c r="B28" s="10" t="s">
        <v>36</v>
      </c>
      <c r="C28" s="11" t="s">
        <v>80</v>
      </c>
      <c r="D28" s="64">
        <v>10</v>
      </c>
      <c r="M28" s="186"/>
    </row>
    <row r="29" spans="2:13" x14ac:dyDescent="0.25">
      <c r="B29" s="10" t="s">
        <v>51</v>
      </c>
      <c r="C29" s="11" t="s">
        <v>81</v>
      </c>
      <c r="D29" s="64">
        <v>10</v>
      </c>
      <c r="M29" s="186"/>
    </row>
    <row r="30" spans="2:13" x14ac:dyDescent="0.25">
      <c r="B30" s="10" t="s">
        <v>48</v>
      </c>
      <c r="C30" s="11" t="s">
        <v>82</v>
      </c>
      <c r="D30" s="223">
        <f t="shared" ref="D30:D31" si="0">(44.05+20.25)*1.15</f>
        <v>73.944999999999993</v>
      </c>
      <c r="M30" s="186"/>
    </row>
    <row r="31" spans="2:13" x14ac:dyDescent="0.25">
      <c r="B31" s="10" t="s">
        <v>242</v>
      </c>
      <c r="C31" s="11" t="s">
        <v>83</v>
      </c>
      <c r="D31" s="223">
        <f t="shared" si="0"/>
        <v>73.944999999999993</v>
      </c>
      <c r="M31" s="186"/>
    </row>
    <row r="32" spans="2:13" x14ac:dyDescent="0.25">
      <c r="B32" s="10" t="s">
        <v>43</v>
      </c>
      <c r="C32" s="11" t="s">
        <v>84</v>
      </c>
      <c r="D32" s="64">
        <v>10</v>
      </c>
      <c r="M32" s="186"/>
    </row>
    <row r="33" spans="2:13" x14ac:dyDescent="0.25">
      <c r="B33" s="10" t="s">
        <v>38</v>
      </c>
      <c r="C33" s="11" t="s">
        <v>39</v>
      </c>
      <c r="D33" s="64">
        <v>10</v>
      </c>
      <c r="M33" s="186"/>
    </row>
    <row r="34" spans="2:13" x14ac:dyDescent="0.25">
      <c r="B34" s="10" t="s">
        <v>51</v>
      </c>
      <c r="C34" s="11" t="s">
        <v>85</v>
      </c>
      <c r="D34" s="64">
        <v>10</v>
      </c>
      <c r="M34" s="186"/>
    </row>
    <row r="35" spans="2:13" x14ac:dyDescent="0.25">
      <c r="B35" s="10" t="s">
        <v>52</v>
      </c>
      <c r="C35" s="11" t="s">
        <v>86</v>
      </c>
      <c r="D35" s="64">
        <v>10</v>
      </c>
      <c r="M35" s="186"/>
    </row>
    <row r="36" spans="2:13" x14ac:dyDescent="0.25">
      <c r="B36" s="10" t="s">
        <v>36</v>
      </c>
      <c r="C36" s="11" t="s">
        <v>87</v>
      </c>
      <c r="D36" s="64">
        <v>10</v>
      </c>
      <c r="M36" s="186"/>
    </row>
    <row r="37" spans="2:13" x14ac:dyDescent="0.25">
      <c r="B37" s="10" t="s">
        <v>37</v>
      </c>
      <c r="C37" s="11" t="s">
        <v>88</v>
      </c>
      <c r="D37" s="64">
        <v>10</v>
      </c>
      <c r="M37" s="186"/>
    </row>
    <row r="38" spans="2:13" x14ac:dyDescent="0.25">
      <c r="B38" s="10" t="s">
        <v>52</v>
      </c>
      <c r="C38" s="11" t="s">
        <v>89</v>
      </c>
      <c r="D38" s="64">
        <v>10</v>
      </c>
      <c r="M38" s="186"/>
    </row>
    <row r="39" spans="2:13" x14ac:dyDescent="0.25">
      <c r="B39" s="10" t="s">
        <v>52</v>
      </c>
      <c r="C39" s="11" t="s">
        <v>90</v>
      </c>
      <c r="D39" s="64">
        <v>10</v>
      </c>
      <c r="M39" s="186"/>
    </row>
    <row r="40" spans="2:13" x14ac:dyDescent="0.25">
      <c r="B40" s="10" t="s">
        <v>52</v>
      </c>
      <c r="C40" s="11" t="s">
        <v>91</v>
      </c>
      <c r="D40" s="64">
        <v>10</v>
      </c>
      <c r="M40" s="186"/>
    </row>
    <row r="41" spans="2:13" x14ac:dyDescent="0.25">
      <c r="B41" s="10" t="s">
        <v>33</v>
      </c>
      <c r="C41" s="11" t="s">
        <v>92</v>
      </c>
      <c r="D41" s="64">
        <v>10</v>
      </c>
      <c r="M41" s="186"/>
    </row>
    <row r="42" spans="2:13" x14ac:dyDescent="0.25">
      <c r="B42" s="10" t="s">
        <v>36</v>
      </c>
      <c r="C42" s="11" t="s">
        <v>93</v>
      </c>
      <c r="D42" s="64">
        <v>10</v>
      </c>
      <c r="M42" s="186"/>
    </row>
    <row r="43" spans="2:13" x14ac:dyDescent="0.25">
      <c r="B43" s="10" t="s">
        <v>44</v>
      </c>
      <c r="C43" s="11" t="s">
        <v>45</v>
      </c>
      <c r="D43" s="64">
        <v>10</v>
      </c>
      <c r="M43" s="186"/>
    </row>
    <row r="44" spans="2:13" x14ac:dyDescent="0.25">
      <c r="B44" s="10" t="s">
        <v>37</v>
      </c>
      <c r="C44" s="11" t="s">
        <v>94</v>
      </c>
      <c r="D44" s="64">
        <v>10</v>
      </c>
      <c r="M44" s="186"/>
    </row>
    <row r="45" spans="2:13" x14ac:dyDescent="0.25">
      <c r="B45" s="10" t="s">
        <v>36</v>
      </c>
      <c r="C45" s="11" t="s">
        <v>95</v>
      </c>
      <c r="D45" s="64">
        <v>10</v>
      </c>
      <c r="M45" s="186"/>
    </row>
    <row r="46" spans="2:13" x14ac:dyDescent="0.25">
      <c r="B46" s="10" t="s">
        <v>37</v>
      </c>
      <c r="C46" s="11" t="s">
        <v>96</v>
      </c>
      <c r="D46" s="64">
        <v>10</v>
      </c>
      <c r="M46" s="186"/>
    </row>
    <row r="47" spans="2:13" x14ac:dyDescent="0.25">
      <c r="B47" s="10" t="s">
        <v>32</v>
      </c>
      <c r="C47" s="11" t="s">
        <v>97</v>
      </c>
      <c r="D47" s="64">
        <v>10</v>
      </c>
      <c r="M47" s="186"/>
    </row>
    <row r="48" spans="2:13" x14ac:dyDescent="0.25">
      <c r="B48" s="10" t="s">
        <v>36</v>
      </c>
      <c r="C48" s="11" t="s">
        <v>98</v>
      </c>
      <c r="D48" s="64">
        <v>10</v>
      </c>
      <c r="M48" s="186"/>
    </row>
    <row r="49" spans="2:13" x14ac:dyDescent="0.25">
      <c r="B49" s="10" t="s">
        <v>33</v>
      </c>
      <c r="C49" s="11" t="s">
        <v>99</v>
      </c>
      <c r="D49" s="64">
        <v>10</v>
      </c>
      <c r="M49" s="186"/>
    </row>
    <row r="50" spans="2:13" x14ac:dyDescent="0.25">
      <c r="B50" s="10" t="s">
        <v>33</v>
      </c>
      <c r="C50" s="11" t="s">
        <v>100</v>
      </c>
      <c r="D50" s="64">
        <v>10</v>
      </c>
      <c r="M50" s="186"/>
    </row>
    <row r="51" spans="2:13" x14ac:dyDescent="0.25">
      <c r="B51" s="10" t="s">
        <v>40</v>
      </c>
      <c r="C51" s="11" t="s">
        <v>101</v>
      </c>
      <c r="D51" s="64">
        <v>10</v>
      </c>
      <c r="M51" s="186"/>
    </row>
    <row r="52" spans="2:13" x14ac:dyDescent="0.25">
      <c r="B52" s="10" t="s">
        <v>35</v>
      </c>
      <c r="C52" s="11" t="s">
        <v>102</v>
      </c>
      <c r="D52" s="64">
        <v>10</v>
      </c>
      <c r="M52" s="186"/>
    </row>
    <row r="53" spans="2:13" x14ac:dyDescent="0.25">
      <c r="B53" s="10" t="s">
        <v>29</v>
      </c>
      <c r="C53" s="11" t="s">
        <v>103</v>
      </c>
      <c r="D53" s="64">
        <v>10</v>
      </c>
      <c r="M53" s="186"/>
    </row>
    <row r="54" spans="2:13" x14ac:dyDescent="0.25">
      <c r="B54" s="10" t="s">
        <v>34</v>
      </c>
      <c r="C54" s="11" t="s">
        <v>104</v>
      </c>
      <c r="D54" s="64">
        <v>10</v>
      </c>
      <c r="M54" s="186"/>
    </row>
    <row r="55" spans="2:13" x14ac:dyDescent="0.25">
      <c r="B55" s="10" t="s">
        <v>36</v>
      </c>
      <c r="C55" s="11" t="s">
        <v>105</v>
      </c>
      <c r="D55" s="64">
        <v>10</v>
      </c>
      <c r="M55" s="186"/>
    </row>
    <row r="56" spans="2:13" x14ac:dyDescent="0.25">
      <c r="B56" s="10" t="s">
        <v>37</v>
      </c>
      <c r="C56" s="11" t="s">
        <v>106</v>
      </c>
      <c r="D56" s="64">
        <v>10</v>
      </c>
      <c r="M56" s="186"/>
    </row>
    <row r="57" spans="2:13" x14ac:dyDescent="0.25">
      <c r="B57" s="10" t="s">
        <v>52</v>
      </c>
      <c r="C57" s="11" t="s">
        <v>107</v>
      </c>
      <c r="D57" s="64">
        <v>10</v>
      </c>
      <c r="M57" s="186"/>
    </row>
    <row r="58" spans="2:13" x14ac:dyDescent="0.25">
      <c r="B58" s="10" t="s">
        <v>34</v>
      </c>
      <c r="C58" s="11" t="s">
        <v>108</v>
      </c>
      <c r="D58" s="64">
        <v>10</v>
      </c>
      <c r="M58" s="186"/>
    </row>
    <row r="59" spans="2:13" x14ac:dyDescent="0.25">
      <c r="B59" s="10" t="s">
        <v>52</v>
      </c>
      <c r="C59" s="11" t="s">
        <v>109</v>
      </c>
      <c r="D59" s="64">
        <v>10</v>
      </c>
      <c r="M59" s="186"/>
    </row>
    <row r="60" spans="2:13" x14ac:dyDescent="0.25">
      <c r="B60" s="10" t="s">
        <v>40</v>
      </c>
      <c r="C60" s="11" t="s">
        <v>110</v>
      </c>
      <c r="D60" s="64">
        <v>10</v>
      </c>
      <c r="M60" s="186"/>
    </row>
    <row r="61" spans="2:13" x14ac:dyDescent="0.25">
      <c r="B61" s="10" t="s">
        <v>31</v>
      </c>
      <c r="C61" s="11" t="s">
        <v>111</v>
      </c>
      <c r="D61" s="64">
        <v>10</v>
      </c>
      <c r="M61" s="186"/>
    </row>
    <row r="62" spans="2:13" x14ac:dyDescent="0.25">
      <c r="B62" s="10" t="s">
        <v>31</v>
      </c>
      <c r="C62" s="11" t="s">
        <v>112</v>
      </c>
      <c r="D62" s="64">
        <v>10</v>
      </c>
      <c r="M62" s="186"/>
    </row>
    <row r="63" spans="2:13" x14ac:dyDescent="0.25">
      <c r="B63" s="10" t="s">
        <v>31</v>
      </c>
      <c r="C63" s="11" t="s">
        <v>113</v>
      </c>
      <c r="D63" s="64">
        <v>10</v>
      </c>
      <c r="M63" s="186"/>
    </row>
    <row r="64" spans="2:13" x14ac:dyDescent="0.25">
      <c r="B64" s="10" t="s">
        <v>47</v>
      </c>
      <c r="C64" s="11" t="s">
        <v>114</v>
      </c>
      <c r="D64" s="64">
        <v>10</v>
      </c>
      <c r="M64" s="186"/>
    </row>
    <row r="65" spans="2:13" x14ac:dyDescent="0.25">
      <c r="B65" s="10" t="s">
        <v>33</v>
      </c>
      <c r="C65" s="11" t="s">
        <v>115</v>
      </c>
      <c r="D65" s="64">
        <v>10</v>
      </c>
      <c r="M65" s="186"/>
    </row>
    <row r="66" spans="2:13" x14ac:dyDescent="0.25">
      <c r="B66" s="10" t="s">
        <v>32</v>
      </c>
      <c r="C66" s="11" t="s">
        <v>116</v>
      </c>
      <c r="D66" s="64">
        <v>10</v>
      </c>
      <c r="M66" s="186"/>
    </row>
    <row r="67" spans="2:13" x14ac:dyDescent="0.25">
      <c r="B67" s="10" t="s">
        <v>32</v>
      </c>
      <c r="C67" s="11" t="s">
        <v>117</v>
      </c>
      <c r="D67" s="64">
        <v>10</v>
      </c>
      <c r="M67" s="186"/>
    </row>
    <row r="68" spans="2:13" x14ac:dyDescent="0.25">
      <c r="B68" s="10" t="s">
        <v>33</v>
      </c>
      <c r="C68" s="11" t="s">
        <v>118</v>
      </c>
      <c r="D68" s="64">
        <v>10</v>
      </c>
      <c r="M68" s="186"/>
    </row>
    <row r="69" spans="2:13" x14ac:dyDescent="0.25">
      <c r="B69" s="10" t="s">
        <v>33</v>
      </c>
      <c r="C69" s="11" t="s">
        <v>119</v>
      </c>
      <c r="D69" s="64">
        <v>10</v>
      </c>
      <c r="M69" s="186"/>
    </row>
    <row r="70" spans="2:13" x14ac:dyDescent="0.25">
      <c r="B70" s="10" t="s">
        <v>52</v>
      </c>
      <c r="C70" s="11" t="s">
        <v>120</v>
      </c>
      <c r="D70" s="64">
        <v>10</v>
      </c>
      <c r="M70" s="186"/>
    </row>
    <row r="71" spans="2:13" x14ac:dyDescent="0.25">
      <c r="B71" s="10" t="s">
        <v>33</v>
      </c>
      <c r="C71" s="11" t="s">
        <v>121</v>
      </c>
      <c r="D71" s="64">
        <v>10</v>
      </c>
      <c r="M71" s="186"/>
    </row>
    <row r="72" spans="2:13" x14ac:dyDescent="0.25">
      <c r="B72" s="10" t="s">
        <v>51</v>
      </c>
      <c r="C72" s="11" t="s">
        <v>122</v>
      </c>
      <c r="D72" s="64">
        <v>10</v>
      </c>
      <c r="M72" s="186"/>
    </row>
    <row r="73" spans="2:13" x14ac:dyDescent="0.25">
      <c r="B73" s="10" t="s">
        <v>38</v>
      </c>
      <c r="C73" s="11" t="s">
        <v>123</v>
      </c>
      <c r="D73" s="64">
        <v>10</v>
      </c>
      <c r="M73" s="186"/>
    </row>
    <row r="74" spans="2:13" x14ac:dyDescent="0.25">
      <c r="B74" s="10" t="s">
        <v>46</v>
      </c>
      <c r="C74" s="11" t="s">
        <v>124</v>
      </c>
      <c r="D74" s="64">
        <v>10</v>
      </c>
      <c r="M74" s="186"/>
    </row>
    <row r="75" spans="2:13" x14ac:dyDescent="0.25">
      <c r="B75" s="10" t="s">
        <v>41</v>
      </c>
      <c r="C75" s="11" t="s">
        <v>125</v>
      </c>
      <c r="D75" s="64">
        <v>10</v>
      </c>
      <c r="M75" s="186"/>
    </row>
    <row r="76" spans="2:13" x14ac:dyDescent="0.25">
      <c r="B76" s="10" t="s">
        <v>30</v>
      </c>
      <c r="C76" s="11" t="s">
        <v>126</v>
      </c>
      <c r="D76" s="64">
        <v>10</v>
      </c>
      <c r="M76" s="186"/>
    </row>
    <row r="77" spans="2:13" x14ac:dyDescent="0.25">
      <c r="B77" s="10" t="s">
        <v>41</v>
      </c>
      <c r="C77" s="11" t="s">
        <v>127</v>
      </c>
      <c r="D77" s="64">
        <v>10</v>
      </c>
      <c r="M77" s="186"/>
    </row>
    <row r="78" spans="2:13" x14ac:dyDescent="0.25">
      <c r="B78" s="10" t="s">
        <v>33</v>
      </c>
      <c r="C78" s="11" t="s">
        <v>128</v>
      </c>
      <c r="D78" s="64">
        <v>10</v>
      </c>
      <c r="M78" s="186"/>
    </row>
    <row r="79" spans="2:13" x14ac:dyDescent="0.25">
      <c r="B79" s="10" t="s">
        <v>34</v>
      </c>
      <c r="C79" s="11" t="s">
        <v>129</v>
      </c>
      <c r="D79" s="64">
        <v>10</v>
      </c>
      <c r="M79" s="186"/>
    </row>
    <row r="80" spans="2:13" x14ac:dyDescent="0.25">
      <c r="B80" s="10" t="s">
        <v>33</v>
      </c>
      <c r="C80" s="11" t="s">
        <v>130</v>
      </c>
      <c r="D80" s="64">
        <v>10</v>
      </c>
      <c r="M80" s="186"/>
    </row>
    <row r="81" spans="2:13" x14ac:dyDescent="0.25">
      <c r="B81" s="10" t="s">
        <v>51</v>
      </c>
      <c r="C81" s="11" t="s">
        <v>131</v>
      </c>
      <c r="D81" s="64">
        <v>10</v>
      </c>
      <c r="M81" s="186"/>
    </row>
    <row r="82" spans="2:13" x14ac:dyDescent="0.25">
      <c r="B82" s="10" t="s">
        <v>34</v>
      </c>
      <c r="C82" s="11" t="s">
        <v>132</v>
      </c>
      <c r="D82" s="64">
        <v>10</v>
      </c>
      <c r="M82" s="186"/>
    </row>
    <row r="83" spans="2:13" x14ac:dyDescent="0.25">
      <c r="B83" s="10" t="s">
        <v>30</v>
      </c>
      <c r="C83" s="11" t="s">
        <v>133</v>
      </c>
      <c r="D83" s="64">
        <v>10</v>
      </c>
      <c r="M83" s="186"/>
    </row>
    <row r="84" spans="2:13" x14ac:dyDescent="0.25">
      <c r="B84" s="10" t="s">
        <v>48</v>
      </c>
      <c r="C84" s="11" t="s">
        <v>134</v>
      </c>
      <c r="D84" s="64">
        <v>10</v>
      </c>
      <c r="M84" s="186"/>
    </row>
    <row r="85" spans="2:13" x14ac:dyDescent="0.25">
      <c r="B85" s="10" t="s">
        <v>40</v>
      </c>
      <c r="C85" s="11" t="s">
        <v>135</v>
      </c>
      <c r="D85" s="64">
        <v>10</v>
      </c>
      <c r="M85" s="186"/>
    </row>
    <row r="86" spans="2:13" x14ac:dyDescent="0.25">
      <c r="B86" s="10" t="s">
        <v>36</v>
      </c>
      <c r="C86" s="11" t="s">
        <v>136</v>
      </c>
      <c r="D86" s="64">
        <v>10</v>
      </c>
      <c r="M86" s="186"/>
    </row>
    <row r="87" spans="2:13" x14ac:dyDescent="0.25">
      <c r="B87" s="10" t="s">
        <v>37</v>
      </c>
      <c r="C87" s="11" t="s">
        <v>137</v>
      </c>
      <c r="D87" s="64">
        <v>10</v>
      </c>
      <c r="M87" s="186"/>
    </row>
    <row r="88" spans="2:13" x14ac:dyDescent="0.25">
      <c r="B88" s="10" t="s">
        <v>35</v>
      </c>
      <c r="C88" s="11" t="s">
        <v>138</v>
      </c>
      <c r="D88" s="64">
        <v>10</v>
      </c>
      <c r="M88" s="186"/>
    </row>
    <row r="89" spans="2:13" x14ac:dyDescent="0.25">
      <c r="B89" s="10" t="s">
        <v>41</v>
      </c>
      <c r="C89" s="11" t="s">
        <v>42</v>
      </c>
      <c r="D89" s="64">
        <v>10</v>
      </c>
      <c r="M89" s="186"/>
    </row>
    <row r="90" spans="2:13" x14ac:dyDescent="0.25">
      <c r="B90" s="10" t="s">
        <v>32</v>
      </c>
      <c r="C90" s="11" t="s">
        <v>139</v>
      </c>
      <c r="D90" s="64">
        <v>10</v>
      </c>
      <c r="M90" s="186"/>
    </row>
    <row r="91" spans="2:13" x14ac:dyDescent="0.25">
      <c r="B91" s="10" t="s">
        <v>33</v>
      </c>
      <c r="C91" s="11" t="s">
        <v>140</v>
      </c>
      <c r="D91" s="64">
        <v>10</v>
      </c>
      <c r="M91" s="186"/>
    </row>
    <row r="92" spans="2:13" x14ac:dyDescent="0.25">
      <c r="B92" s="10" t="s">
        <v>35</v>
      </c>
      <c r="C92" s="11" t="s">
        <v>141</v>
      </c>
      <c r="D92" s="64">
        <v>10</v>
      </c>
      <c r="M92" s="186"/>
    </row>
    <row r="93" spans="2:13" x14ac:dyDescent="0.25">
      <c r="B93" s="10" t="s">
        <v>32</v>
      </c>
      <c r="C93" s="11" t="s">
        <v>142</v>
      </c>
      <c r="D93" s="64">
        <v>10</v>
      </c>
      <c r="M93" s="186"/>
    </row>
    <row r="94" spans="2:13" x14ac:dyDescent="0.25">
      <c r="B94" s="10" t="s">
        <v>34</v>
      </c>
      <c r="C94" s="11" t="s">
        <v>143</v>
      </c>
      <c r="D94" s="64">
        <v>10</v>
      </c>
      <c r="M94" s="186"/>
    </row>
    <row r="95" spans="2:13" x14ac:dyDescent="0.25">
      <c r="B95" s="10" t="s">
        <v>36</v>
      </c>
      <c r="C95" s="11" t="s">
        <v>144</v>
      </c>
      <c r="D95" s="64">
        <v>10</v>
      </c>
      <c r="M95" s="186"/>
    </row>
    <row r="96" spans="2:13" x14ac:dyDescent="0.25">
      <c r="B96" s="10" t="s">
        <v>37</v>
      </c>
      <c r="C96" s="11" t="s">
        <v>145</v>
      </c>
      <c r="D96" s="64">
        <v>10</v>
      </c>
      <c r="M96" s="186"/>
    </row>
    <row r="97" spans="2:13" x14ac:dyDescent="0.25">
      <c r="B97" s="10" t="s">
        <v>243</v>
      </c>
      <c r="C97" s="11" t="s">
        <v>146</v>
      </c>
      <c r="D97" s="64">
        <v>10</v>
      </c>
      <c r="M97" s="186"/>
    </row>
    <row r="98" spans="2:13" x14ac:dyDescent="0.25">
      <c r="B98" s="10" t="s">
        <v>33</v>
      </c>
      <c r="C98" s="11" t="s">
        <v>147</v>
      </c>
      <c r="D98" s="64">
        <v>10</v>
      </c>
      <c r="M98" s="186"/>
    </row>
    <row r="99" spans="2:13" x14ac:dyDescent="0.25">
      <c r="B99" s="10" t="s">
        <v>33</v>
      </c>
      <c r="C99" s="11" t="s">
        <v>148</v>
      </c>
      <c r="D99" s="64">
        <v>10</v>
      </c>
      <c r="M99" s="186"/>
    </row>
    <row r="100" spans="2:13" x14ac:dyDescent="0.25">
      <c r="B100" s="10" t="s">
        <v>53</v>
      </c>
      <c r="C100" s="11" t="s">
        <v>54</v>
      </c>
      <c r="D100" s="64">
        <v>10</v>
      </c>
      <c r="M100" s="186"/>
    </row>
    <row r="101" spans="2:13" x14ac:dyDescent="0.25">
      <c r="B101" s="10" t="s">
        <v>36</v>
      </c>
      <c r="C101" s="11" t="s">
        <v>149</v>
      </c>
      <c r="D101" s="64">
        <v>10</v>
      </c>
      <c r="M101" s="186"/>
    </row>
    <row r="102" spans="2:13" x14ac:dyDescent="0.25">
      <c r="B102" s="10" t="s">
        <v>34</v>
      </c>
      <c r="C102" s="11" t="s">
        <v>150</v>
      </c>
      <c r="D102" s="64">
        <v>10</v>
      </c>
      <c r="M102" s="186"/>
    </row>
    <row r="103" spans="2:13" x14ac:dyDescent="0.25">
      <c r="B103" s="10" t="s">
        <v>35</v>
      </c>
      <c r="C103" s="11" t="s">
        <v>151</v>
      </c>
      <c r="D103" s="64">
        <v>10</v>
      </c>
      <c r="M103" s="186"/>
    </row>
    <row r="104" spans="2:13" x14ac:dyDescent="0.25">
      <c r="B104" s="10" t="s">
        <v>37</v>
      </c>
      <c r="C104" s="11" t="s">
        <v>152</v>
      </c>
      <c r="D104" s="64">
        <v>10</v>
      </c>
      <c r="M104" s="186"/>
    </row>
    <row r="105" spans="2:13" x14ac:dyDescent="0.25">
      <c r="B105" s="10" t="s">
        <v>244</v>
      </c>
      <c r="C105" s="11" t="s">
        <v>245</v>
      </c>
      <c r="D105" s="64"/>
      <c r="M105" s="186"/>
    </row>
    <row r="106" spans="2:13" x14ac:dyDescent="0.25">
      <c r="B106" s="10" t="s">
        <v>27</v>
      </c>
      <c r="C106" s="11" t="s">
        <v>245</v>
      </c>
      <c r="D106" s="64"/>
      <c r="M106" s="186"/>
    </row>
    <row r="107" spans="2:13" x14ac:dyDescent="0.25">
      <c r="B107" s="185"/>
      <c r="M107" s="186"/>
    </row>
    <row r="108" spans="2:13" x14ac:dyDescent="0.25">
      <c r="B108" s="185"/>
      <c r="M108" s="186"/>
    </row>
    <row r="109" spans="2:13" x14ac:dyDescent="0.25">
      <c r="B109" s="185"/>
      <c r="M109" s="186"/>
    </row>
    <row r="110" spans="2:13" x14ac:dyDescent="0.25">
      <c r="B110" s="185"/>
      <c r="M110" s="186"/>
    </row>
    <row r="111" spans="2:13" x14ac:dyDescent="0.25">
      <c r="B111" s="185"/>
      <c r="M111" s="186"/>
    </row>
    <row r="112" spans="2:13" x14ac:dyDescent="0.25">
      <c r="B112" s="185"/>
      <c r="M112" s="186"/>
    </row>
    <row r="113" spans="2:13" x14ac:dyDescent="0.25">
      <c r="B113" s="185"/>
      <c r="M113" s="186"/>
    </row>
    <row r="114" spans="2:13" x14ac:dyDescent="0.25">
      <c r="B114" s="185"/>
      <c r="M114" s="186"/>
    </row>
    <row r="115" spans="2:13" ht="21" x14ac:dyDescent="0.25">
      <c r="B115" s="65" t="s">
        <v>246</v>
      </c>
      <c r="C115" s="65" t="s">
        <v>247</v>
      </c>
      <c r="M115" s="186"/>
    </row>
    <row r="116" spans="2:13" x14ac:dyDescent="0.25">
      <c r="B116" s="8" t="s">
        <v>226</v>
      </c>
      <c r="C116" s="9">
        <f>'BASE BID'!D$11</f>
        <v>0</v>
      </c>
      <c r="M116" s="186"/>
    </row>
    <row r="117" spans="2:13" x14ac:dyDescent="0.25">
      <c r="B117" s="8" t="s">
        <v>225</v>
      </c>
      <c r="C117" s="9">
        <f>'BASE BID'!D$12</f>
        <v>0.05</v>
      </c>
      <c r="M117" s="186"/>
    </row>
    <row r="118" spans="2:13" x14ac:dyDescent="0.25">
      <c r="B118" s="8" t="s">
        <v>224</v>
      </c>
      <c r="C118" s="9">
        <f>'BASE BID'!D$12</f>
        <v>0.05</v>
      </c>
      <c r="M118" s="186"/>
    </row>
    <row r="119" spans="2:13" x14ac:dyDescent="0.25">
      <c r="B119" s="8" t="s">
        <v>248</v>
      </c>
      <c r="C119" s="9">
        <f>'BASE BID'!D$12</f>
        <v>0.05</v>
      </c>
      <c r="M119" s="186"/>
    </row>
    <row r="120" spans="2:13" x14ac:dyDescent="0.25">
      <c r="B120" s="8" t="s">
        <v>228</v>
      </c>
      <c r="C120" s="9">
        <f>'BASE BID'!D$12</f>
        <v>0.05</v>
      </c>
      <c r="M120" s="186"/>
    </row>
    <row r="121" spans="2:13" x14ac:dyDescent="0.25">
      <c r="B121" s="8" t="s">
        <v>229</v>
      </c>
      <c r="C121" s="9">
        <f>'BASE BID'!D$12</f>
        <v>0.05</v>
      </c>
      <c r="M121" s="186"/>
    </row>
    <row r="122" spans="2:13" x14ac:dyDescent="0.25">
      <c r="B122" s="8" t="s">
        <v>227</v>
      </c>
      <c r="C122" s="9">
        <f>'BASE BID'!D$12</f>
        <v>0.05</v>
      </c>
      <c r="M122" s="186"/>
    </row>
    <row r="123" spans="2:13" x14ac:dyDescent="0.25">
      <c r="B123" s="8" t="s">
        <v>199</v>
      </c>
      <c r="C123" s="9">
        <f>'BASE BID'!D$11</f>
        <v>0</v>
      </c>
      <c r="M123" s="186"/>
    </row>
    <row r="124" spans="2:13" x14ac:dyDescent="0.25">
      <c r="B124" s="8"/>
      <c r="C124" s="8"/>
      <c r="M124" s="186"/>
    </row>
    <row r="125" spans="2:13" x14ac:dyDescent="0.25">
      <c r="B125" s="8"/>
      <c r="C125" s="8"/>
      <c r="M125" s="186"/>
    </row>
    <row r="126" spans="2:13" x14ac:dyDescent="0.25">
      <c r="B126" s="8"/>
      <c r="C126" s="8"/>
      <c r="D126" s="191"/>
      <c r="E126" s="191"/>
      <c r="F126" s="191"/>
      <c r="G126" s="191"/>
      <c r="H126" s="191"/>
      <c r="I126" s="191"/>
      <c r="J126" s="191"/>
      <c r="K126" s="191"/>
      <c r="L126" s="191"/>
      <c r="M126" s="192"/>
    </row>
  </sheetData>
  <sortState xmlns:xlrd2="http://schemas.microsoft.com/office/spreadsheetml/2017/richdata2" ref="B8:D104">
    <sortCondition ref="C8:C97"/>
  </sortState>
  <mergeCells count="3">
    <mergeCell ref="B2:M3"/>
    <mergeCell ref="B4:M4"/>
    <mergeCell ref="F6:J6"/>
  </mergeCells>
  <hyperlinks>
    <hyperlink ref="F6:I6" location="'COST SUMMARY'!A1" display="CLICK HERE TO GO BACK TO COST SUMMARY" xr:uid="{00000000-0004-0000-0600-000000000000}"/>
  </hyperlinks>
  <pageMargins left="0.25" right="0.25" top="0.75" bottom="0.75" header="0.3" footer="0.3"/>
  <pageSetup scale="56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1:EP142"/>
  <sheetViews>
    <sheetView workbookViewId="0">
      <selection activeCell="B3" sqref="B3"/>
    </sheetView>
  </sheetViews>
  <sheetFormatPr defaultColWidth="8.77734375" defaultRowHeight="15" x14ac:dyDescent="0.25"/>
  <cols>
    <col min="1" max="16384" width="8.77734375" style="20"/>
  </cols>
  <sheetData>
    <row r="1" spans="1:146" x14ac:dyDescent="0.25">
      <c r="A1" s="20" t="s">
        <v>249</v>
      </c>
      <c r="B1" s="20" t="s">
        <v>250</v>
      </c>
      <c r="C1" s="20" t="s">
        <v>251</v>
      </c>
      <c r="D1" s="21" t="s">
        <v>4</v>
      </c>
      <c r="E1" s="21" t="s">
        <v>252</v>
      </c>
      <c r="F1" s="20" t="s">
        <v>253</v>
      </c>
      <c r="G1" s="20" t="s">
        <v>254</v>
      </c>
      <c r="H1" s="20" t="s">
        <v>255</v>
      </c>
      <c r="I1" s="20" t="s">
        <v>256</v>
      </c>
      <c r="J1" s="20" t="s">
        <v>257</v>
      </c>
      <c r="K1" s="20" t="s">
        <v>258</v>
      </c>
      <c r="L1" s="20" t="s">
        <v>259</v>
      </c>
      <c r="M1" s="20" t="s">
        <v>260</v>
      </c>
      <c r="N1" s="20" t="s">
        <v>261</v>
      </c>
      <c r="O1" s="20" t="s">
        <v>262</v>
      </c>
      <c r="P1" s="20" t="s">
        <v>263</v>
      </c>
      <c r="Q1" s="20" t="s">
        <v>264</v>
      </c>
      <c r="R1" s="20" t="s">
        <v>265</v>
      </c>
      <c r="S1" s="20" t="s">
        <v>266</v>
      </c>
      <c r="T1" s="20" t="s">
        <v>267</v>
      </c>
      <c r="U1" s="20" t="s">
        <v>268</v>
      </c>
      <c r="V1" s="20" t="s">
        <v>269</v>
      </c>
      <c r="W1" s="20" t="s">
        <v>270</v>
      </c>
      <c r="X1" s="20" t="s">
        <v>271</v>
      </c>
      <c r="Y1" s="20" t="s">
        <v>272</v>
      </c>
      <c r="Z1" s="20" t="s">
        <v>273</v>
      </c>
      <c r="AA1" s="20" t="s">
        <v>274</v>
      </c>
      <c r="AB1" s="20" t="s">
        <v>275</v>
      </c>
      <c r="AC1" s="20" t="s">
        <v>276</v>
      </c>
      <c r="AD1" s="20" t="s">
        <v>277</v>
      </c>
      <c r="AE1" s="20" t="s">
        <v>278</v>
      </c>
      <c r="AF1" s="20" t="s">
        <v>279</v>
      </c>
      <c r="AG1" s="20" t="s">
        <v>280</v>
      </c>
      <c r="AH1" s="20" t="s">
        <v>281</v>
      </c>
      <c r="AI1" s="20" t="s">
        <v>282</v>
      </c>
      <c r="AJ1" s="20" t="s">
        <v>283</v>
      </c>
      <c r="AK1" s="20" t="s">
        <v>284</v>
      </c>
      <c r="AL1" s="20" t="s">
        <v>285</v>
      </c>
      <c r="AM1" s="20" t="s">
        <v>286</v>
      </c>
      <c r="AN1" s="20" t="s">
        <v>287</v>
      </c>
      <c r="AO1" s="20" t="s">
        <v>288</v>
      </c>
      <c r="AP1" s="20" t="s">
        <v>289</v>
      </c>
      <c r="AQ1" s="20" t="s">
        <v>290</v>
      </c>
      <c r="AR1" s="20" t="s">
        <v>291</v>
      </c>
      <c r="AS1" s="20" t="s">
        <v>292</v>
      </c>
      <c r="AT1" s="20" t="s">
        <v>293</v>
      </c>
      <c r="AU1" s="20" t="s">
        <v>294</v>
      </c>
      <c r="AV1" s="20" t="s">
        <v>295</v>
      </c>
      <c r="AW1" s="20" t="s">
        <v>296</v>
      </c>
      <c r="AX1" s="20" t="s">
        <v>297</v>
      </c>
      <c r="AY1" s="20" t="s">
        <v>298</v>
      </c>
      <c r="AZ1" s="20" t="s">
        <v>299</v>
      </c>
      <c r="BA1" s="20" t="s">
        <v>300</v>
      </c>
      <c r="BB1" s="20" t="s">
        <v>301</v>
      </c>
      <c r="BC1" s="20" t="s">
        <v>302</v>
      </c>
      <c r="BD1" s="20" t="s">
        <v>303</v>
      </c>
      <c r="BE1" s="20" t="s">
        <v>304</v>
      </c>
      <c r="BF1" s="20" t="s">
        <v>305</v>
      </c>
      <c r="BG1" s="20" t="s">
        <v>306</v>
      </c>
      <c r="BH1" s="20" t="s">
        <v>307</v>
      </c>
      <c r="BI1" s="20" t="s">
        <v>308</v>
      </c>
      <c r="BJ1" s="20" t="s">
        <v>309</v>
      </c>
      <c r="BK1" s="20" t="s">
        <v>310</v>
      </c>
      <c r="BL1" s="20" t="s">
        <v>311</v>
      </c>
      <c r="BM1" s="20" t="s">
        <v>312</v>
      </c>
      <c r="BN1" s="20" t="s">
        <v>313</v>
      </c>
      <c r="BO1" s="20" t="s">
        <v>314</v>
      </c>
      <c r="BP1" s="20" t="s">
        <v>315</v>
      </c>
      <c r="BQ1" s="20" t="s">
        <v>316</v>
      </c>
      <c r="BR1" s="20" t="s">
        <v>317</v>
      </c>
      <c r="BS1" s="20" t="s">
        <v>318</v>
      </c>
      <c r="BT1" s="20" t="s">
        <v>319</v>
      </c>
      <c r="BU1" s="20" t="s">
        <v>320</v>
      </c>
      <c r="BV1" s="20" t="s">
        <v>321</v>
      </c>
      <c r="BW1" s="20" t="s">
        <v>322</v>
      </c>
      <c r="BX1" s="20" t="s">
        <v>323</v>
      </c>
      <c r="BY1" s="20" t="s">
        <v>324</v>
      </c>
      <c r="BZ1" s="20" t="s">
        <v>325</v>
      </c>
      <c r="CA1" s="20" t="s">
        <v>326</v>
      </c>
      <c r="CB1" s="20" t="s">
        <v>327</v>
      </c>
      <c r="CC1" s="20" t="s">
        <v>328</v>
      </c>
      <c r="CD1" s="20" t="s">
        <v>329</v>
      </c>
      <c r="CE1" s="20" t="s">
        <v>330</v>
      </c>
      <c r="CF1" s="20" t="s">
        <v>331</v>
      </c>
      <c r="CG1" s="20" t="s">
        <v>332</v>
      </c>
      <c r="CH1" s="20" t="s">
        <v>333</v>
      </c>
      <c r="CI1" s="20" t="s">
        <v>334</v>
      </c>
      <c r="CJ1" s="20" t="s">
        <v>335</v>
      </c>
      <c r="CK1" s="20" t="s">
        <v>336</v>
      </c>
      <c r="CL1" s="20" t="s">
        <v>337</v>
      </c>
      <c r="CM1" s="20" t="s">
        <v>338</v>
      </c>
      <c r="CN1" s="20" t="s">
        <v>339</v>
      </c>
      <c r="CO1" s="20" t="s">
        <v>340</v>
      </c>
      <c r="CP1" s="20" t="s">
        <v>341</v>
      </c>
      <c r="CQ1" s="20" t="s">
        <v>342</v>
      </c>
      <c r="CR1" s="20" t="s">
        <v>343</v>
      </c>
      <c r="CS1" s="20" t="s">
        <v>344</v>
      </c>
      <c r="CT1" s="20" t="s">
        <v>345</v>
      </c>
      <c r="CU1" s="20" t="s">
        <v>346</v>
      </c>
      <c r="CV1" s="20" t="s">
        <v>347</v>
      </c>
      <c r="CW1" s="20" t="s">
        <v>348</v>
      </c>
      <c r="CX1" s="20" t="s">
        <v>349</v>
      </c>
      <c r="CY1" s="20" t="s">
        <v>350</v>
      </c>
      <c r="CZ1" s="20" t="s">
        <v>351</v>
      </c>
      <c r="DA1" s="20" t="s">
        <v>352</v>
      </c>
      <c r="DB1" s="20" t="s">
        <v>353</v>
      </c>
      <c r="DC1" s="20" t="s">
        <v>354</v>
      </c>
      <c r="DD1" s="20" t="s">
        <v>355</v>
      </c>
      <c r="DE1" s="20" t="s">
        <v>356</v>
      </c>
      <c r="DF1" s="20" t="s">
        <v>357</v>
      </c>
      <c r="DG1" s="20" t="s">
        <v>358</v>
      </c>
      <c r="DH1" s="20" t="s">
        <v>359</v>
      </c>
      <c r="DI1" s="20" t="s">
        <v>360</v>
      </c>
      <c r="DJ1" s="20" t="s">
        <v>361</v>
      </c>
      <c r="DK1" s="20" t="s">
        <v>362</v>
      </c>
      <c r="DL1" s="20" t="s">
        <v>363</v>
      </c>
      <c r="DM1" s="20" t="s">
        <v>364</v>
      </c>
      <c r="DN1" s="20" t="s">
        <v>365</v>
      </c>
      <c r="DO1" s="20" t="s">
        <v>366</v>
      </c>
      <c r="DP1" s="20" t="s">
        <v>367</v>
      </c>
      <c r="DQ1" s="20" t="s">
        <v>368</v>
      </c>
      <c r="DR1" s="20" t="s">
        <v>369</v>
      </c>
      <c r="DS1" s="20" t="s">
        <v>370</v>
      </c>
      <c r="DT1" s="20" t="s">
        <v>371</v>
      </c>
      <c r="DU1" s="20" t="s">
        <v>372</v>
      </c>
      <c r="DV1" s="20" t="s">
        <v>373</v>
      </c>
      <c r="DW1" s="20" t="s">
        <v>374</v>
      </c>
      <c r="DX1" s="20" t="s">
        <v>375</v>
      </c>
      <c r="DY1" s="20" t="s">
        <v>376</v>
      </c>
      <c r="DZ1" s="20" t="s">
        <v>377</v>
      </c>
      <c r="EA1" s="20" t="s">
        <v>378</v>
      </c>
      <c r="EB1" s="20" t="s">
        <v>379</v>
      </c>
      <c r="EC1" s="20" t="s">
        <v>380</v>
      </c>
      <c r="ED1" s="20" t="s">
        <v>381</v>
      </c>
      <c r="EE1" s="20" t="s">
        <v>382</v>
      </c>
      <c r="EF1" s="20" t="s">
        <v>383</v>
      </c>
      <c r="EG1" s="20" t="s">
        <v>384</v>
      </c>
      <c r="EH1" s="20" t="s">
        <v>385</v>
      </c>
      <c r="EI1" s="20" t="s">
        <v>386</v>
      </c>
      <c r="EJ1" s="20" t="s">
        <v>387</v>
      </c>
      <c r="EK1" s="20" t="s">
        <v>388</v>
      </c>
      <c r="EL1" s="20" t="s">
        <v>389</v>
      </c>
      <c r="EM1" s="20" t="s">
        <v>390</v>
      </c>
      <c r="EN1" s="20" t="s">
        <v>391</v>
      </c>
      <c r="EO1" s="20" t="s">
        <v>392</v>
      </c>
      <c r="EP1" s="20" t="s">
        <v>393</v>
      </c>
    </row>
    <row r="2" spans="1:146" x14ac:dyDescent="0.25">
      <c r="A2" s="20" t="s">
        <v>250</v>
      </c>
      <c r="B2" s="20" t="s">
        <v>394</v>
      </c>
      <c r="C2" s="20" t="s">
        <v>395</v>
      </c>
      <c r="D2" s="20" t="s">
        <v>396</v>
      </c>
      <c r="E2" s="20" t="s">
        <v>253</v>
      </c>
      <c r="F2" s="20" t="s">
        <v>397</v>
      </c>
      <c r="G2" s="20" t="s">
        <v>397</v>
      </c>
      <c r="H2" s="20" t="s">
        <v>397</v>
      </c>
      <c r="I2" s="20" t="s">
        <v>398</v>
      </c>
      <c r="J2" s="20" t="s">
        <v>399</v>
      </c>
      <c r="K2" s="20" t="s">
        <v>400</v>
      </c>
      <c r="L2" s="20" t="s">
        <v>400</v>
      </c>
      <c r="M2" s="20" t="s">
        <v>401</v>
      </c>
      <c r="N2" s="20" t="s">
        <v>402</v>
      </c>
      <c r="O2" s="20" t="s">
        <v>399</v>
      </c>
      <c r="P2" s="20" t="s">
        <v>403</v>
      </c>
      <c r="Q2" s="20" t="s">
        <v>404</v>
      </c>
      <c r="R2" s="20" t="s">
        <v>405</v>
      </c>
      <c r="S2" s="20" t="s">
        <v>397</v>
      </c>
      <c r="T2" s="20" t="s">
        <v>397</v>
      </c>
      <c r="U2" s="20" t="s">
        <v>402</v>
      </c>
      <c r="V2" s="20" t="s">
        <v>406</v>
      </c>
      <c r="W2" s="20" t="s">
        <v>406</v>
      </c>
      <c r="X2" s="20" t="s">
        <v>397</v>
      </c>
      <c r="Y2" s="20" t="s">
        <v>407</v>
      </c>
      <c r="Z2" s="20" t="s">
        <v>402</v>
      </c>
      <c r="AA2" s="20" t="s">
        <v>400</v>
      </c>
      <c r="AB2" s="20" t="s">
        <v>402</v>
      </c>
      <c r="AC2" s="20" t="s">
        <v>408</v>
      </c>
      <c r="AD2" s="20" t="s">
        <v>400</v>
      </c>
      <c r="AE2" s="20" t="s">
        <v>400</v>
      </c>
      <c r="AF2" s="20" t="s">
        <v>409</v>
      </c>
      <c r="AG2" s="20" t="s">
        <v>410</v>
      </c>
      <c r="AH2" s="20" t="s">
        <v>411</v>
      </c>
      <c r="AI2" s="20" t="s">
        <v>402</v>
      </c>
      <c r="AJ2" s="20" t="s">
        <v>402</v>
      </c>
      <c r="AK2" s="20" t="s">
        <v>412</v>
      </c>
      <c r="AL2" s="20" t="s">
        <v>412</v>
      </c>
      <c r="AM2" s="20" t="s">
        <v>413</v>
      </c>
      <c r="AN2" s="20" t="s">
        <v>413</v>
      </c>
      <c r="AO2" s="20" t="s">
        <v>413</v>
      </c>
      <c r="AP2" s="20" t="s">
        <v>414</v>
      </c>
      <c r="AQ2" s="20" t="s">
        <v>415</v>
      </c>
      <c r="AR2" s="20" t="s">
        <v>416</v>
      </c>
      <c r="AS2" s="20" t="s">
        <v>413</v>
      </c>
      <c r="AT2" s="20" t="s">
        <v>415</v>
      </c>
      <c r="AU2" s="20" t="s">
        <v>415</v>
      </c>
      <c r="AV2" s="20" t="s">
        <v>399</v>
      </c>
      <c r="AW2" s="20" t="s">
        <v>404</v>
      </c>
      <c r="AX2" s="20" t="s">
        <v>397</v>
      </c>
      <c r="AY2" s="20" t="s">
        <v>397</v>
      </c>
      <c r="AZ2" s="20" t="s">
        <v>397</v>
      </c>
      <c r="BA2" s="20" t="s">
        <v>417</v>
      </c>
      <c r="BB2" s="20" t="s">
        <v>402</v>
      </c>
      <c r="BC2" s="20" t="s">
        <v>400</v>
      </c>
      <c r="BD2" s="20" t="s">
        <v>400</v>
      </c>
      <c r="BE2" s="20" t="s">
        <v>397</v>
      </c>
      <c r="BF2" s="20" t="s">
        <v>418</v>
      </c>
      <c r="BG2" s="20" t="s">
        <v>397</v>
      </c>
      <c r="BH2" s="20" t="s">
        <v>404</v>
      </c>
      <c r="BI2" s="20" t="s">
        <v>413</v>
      </c>
      <c r="BJ2" s="20" t="s">
        <v>413</v>
      </c>
      <c r="BK2" s="20" t="s">
        <v>404</v>
      </c>
      <c r="BL2" s="20" t="s">
        <v>404</v>
      </c>
      <c r="BM2" s="20" t="s">
        <v>419</v>
      </c>
      <c r="BN2" s="20" t="s">
        <v>420</v>
      </c>
      <c r="BO2" s="20" t="s">
        <v>397</v>
      </c>
      <c r="BP2" s="20" t="s">
        <v>418</v>
      </c>
      <c r="BQ2" s="20" t="s">
        <v>397</v>
      </c>
      <c r="BR2" s="20" t="s">
        <v>421</v>
      </c>
      <c r="BS2" s="20" t="s">
        <v>397</v>
      </c>
      <c r="BT2" s="20" t="s">
        <v>404</v>
      </c>
      <c r="BU2" s="20" t="s">
        <v>397</v>
      </c>
      <c r="BV2" s="20" t="s">
        <v>400</v>
      </c>
      <c r="BW2" s="20" t="s">
        <v>422</v>
      </c>
      <c r="BX2" s="20" t="s">
        <v>402</v>
      </c>
      <c r="BY2" s="20" t="s">
        <v>402</v>
      </c>
      <c r="BZ2" s="20" t="s">
        <v>423</v>
      </c>
      <c r="CA2" s="20" t="s">
        <v>402</v>
      </c>
      <c r="CB2" s="20" t="s">
        <v>422</v>
      </c>
      <c r="CC2" s="20" t="s">
        <v>424</v>
      </c>
      <c r="CD2" s="20" t="s">
        <v>404</v>
      </c>
      <c r="CE2" s="20" t="s">
        <v>425</v>
      </c>
      <c r="CF2" s="20" t="s">
        <v>426</v>
      </c>
      <c r="CG2" s="20" t="s">
        <v>397</v>
      </c>
      <c r="CH2" s="20" t="s">
        <v>402</v>
      </c>
      <c r="CI2" s="20" t="s">
        <v>397</v>
      </c>
      <c r="CJ2" s="20" t="s">
        <v>406</v>
      </c>
      <c r="CK2" s="20" t="s">
        <v>397</v>
      </c>
      <c r="CL2" s="20" t="s">
        <v>402</v>
      </c>
      <c r="CM2" s="20" t="s">
        <v>402</v>
      </c>
      <c r="CN2" s="20" t="s">
        <v>402</v>
      </c>
      <c r="CO2" s="20" t="s">
        <v>427</v>
      </c>
      <c r="CP2" s="20" t="s">
        <v>406</v>
      </c>
      <c r="CQ2" s="20" t="s">
        <v>400</v>
      </c>
      <c r="CR2" s="20" t="s">
        <v>397</v>
      </c>
      <c r="CS2" s="20" t="s">
        <v>397</v>
      </c>
      <c r="CT2" s="20" t="s">
        <v>428</v>
      </c>
      <c r="CU2" s="20" t="s">
        <v>429</v>
      </c>
      <c r="CV2" s="20" t="s">
        <v>402</v>
      </c>
      <c r="CW2" s="20" t="s">
        <v>404</v>
      </c>
      <c r="CX2" s="20" t="s">
        <v>400</v>
      </c>
      <c r="CY2" s="20" t="s">
        <v>418</v>
      </c>
      <c r="CZ2" s="20" t="s">
        <v>397</v>
      </c>
      <c r="DA2" s="20" t="s">
        <v>399</v>
      </c>
      <c r="DB2" s="20" t="s">
        <v>430</v>
      </c>
      <c r="DC2" s="20" t="s">
        <v>431</v>
      </c>
      <c r="DD2" s="20" t="s">
        <v>431</v>
      </c>
      <c r="DE2" s="20" t="s">
        <v>431</v>
      </c>
      <c r="DF2" s="20" t="s">
        <v>431</v>
      </c>
      <c r="DG2" s="20" t="s">
        <v>431</v>
      </c>
      <c r="DH2" s="20" t="s">
        <v>431</v>
      </c>
      <c r="DI2" s="20" t="s">
        <v>431</v>
      </c>
      <c r="DJ2" s="20" t="s">
        <v>431</v>
      </c>
      <c r="DK2" s="20" t="s">
        <v>431</v>
      </c>
      <c r="DL2" s="20" t="s">
        <v>431</v>
      </c>
      <c r="DM2" s="20" t="s">
        <v>431</v>
      </c>
      <c r="DN2" s="20" t="s">
        <v>431</v>
      </c>
      <c r="DO2" s="20" t="s">
        <v>431</v>
      </c>
      <c r="DP2" s="20" t="s">
        <v>431</v>
      </c>
      <c r="DQ2" s="20" t="s">
        <v>431</v>
      </c>
      <c r="DR2" s="20" t="s">
        <v>431</v>
      </c>
      <c r="DS2" s="20" t="s">
        <v>431</v>
      </c>
      <c r="DT2" s="20" t="s">
        <v>431</v>
      </c>
      <c r="DU2" s="20" t="s">
        <v>432</v>
      </c>
      <c r="DV2" s="20" t="s">
        <v>432</v>
      </c>
      <c r="DW2" s="20" t="s">
        <v>431</v>
      </c>
      <c r="DX2" s="20" t="s">
        <v>431</v>
      </c>
      <c r="DY2" s="20" t="s">
        <v>431</v>
      </c>
      <c r="DZ2" s="20" t="s">
        <v>431</v>
      </c>
      <c r="EA2" s="20" t="s">
        <v>431</v>
      </c>
      <c r="EB2" s="20" t="s">
        <v>431</v>
      </c>
      <c r="EC2" s="20" t="s">
        <v>431</v>
      </c>
      <c r="ED2" s="20" t="s">
        <v>431</v>
      </c>
      <c r="EE2" s="20" t="s">
        <v>431</v>
      </c>
      <c r="EF2" s="20" t="s">
        <v>431</v>
      </c>
      <c r="EG2" s="20" t="s">
        <v>431</v>
      </c>
      <c r="EH2" s="20" t="s">
        <v>431</v>
      </c>
      <c r="EI2" s="20" t="s">
        <v>431</v>
      </c>
      <c r="EJ2" s="20" t="s">
        <v>431</v>
      </c>
      <c r="EK2" s="20" t="s">
        <v>431</v>
      </c>
      <c r="EL2" s="20" t="s">
        <v>431</v>
      </c>
      <c r="EM2" s="20" t="s">
        <v>431</v>
      </c>
      <c r="EN2" s="20" t="s">
        <v>431</v>
      </c>
      <c r="EO2" s="20" t="s">
        <v>431</v>
      </c>
      <c r="EP2" s="20" t="s">
        <v>431</v>
      </c>
    </row>
    <row r="3" spans="1:146" x14ac:dyDescent="0.25">
      <c r="A3" s="20" t="s">
        <v>251</v>
      </c>
      <c r="C3" s="20" t="s">
        <v>433</v>
      </c>
      <c r="D3" s="20" t="s">
        <v>434</v>
      </c>
      <c r="E3" s="20" t="s">
        <v>254</v>
      </c>
      <c r="F3" s="20" t="s">
        <v>422</v>
      </c>
      <c r="G3" s="20" t="s">
        <v>422</v>
      </c>
      <c r="H3" s="20" t="s">
        <v>422</v>
      </c>
      <c r="I3" s="20" t="s">
        <v>435</v>
      </c>
      <c r="J3" s="20" t="s">
        <v>436</v>
      </c>
      <c r="K3" s="20" t="s">
        <v>437</v>
      </c>
      <c r="L3" s="20" t="s">
        <v>437</v>
      </c>
      <c r="M3" s="20" t="s">
        <v>438</v>
      </c>
      <c r="N3" s="20" t="s">
        <v>439</v>
      </c>
      <c r="O3" s="20" t="s">
        <v>436</v>
      </c>
      <c r="P3" s="20" t="s">
        <v>440</v>
      </c>
      <c r="Q3" s="20" t="s">
        <v>441</v>
      </c>
      <c r="R3" s="20" t="s">
        <v>442</v>
      </c>
      <c r="S3" s="20" t="s">
        <v>443</v>
      </c>
      <c r="T3" s="20" t="s">
        <v>443</v>
      </c>
      <c r="U3" s="20" t="s">
        <v>439</v>
      </c>
      <c r="V3" s="20" t="s">
        <v>439</v>
      </c>
      <c r="W3" s="20" t="s">
        <v>439</v>
      </c>
      <c r="X3" s="20" t="s">
        <v>443</v>
      </c>
      <c r="Y3" s="20" t="s">
        <v>444</v>
      </c>
      <c r="Z3" s="20" t="s">
        <v>439</v>
      </c>
      <c r="AA3" s="20" t="s">
        <v>437</v>
      </c>
      <c r="AB3" s="20" t="s">
        <v>439</v>
      </c>
      <c r="AC3" s="20" t="s">
        <v>445</v>
      </c>
      <c r="AD3" s="20" t="s">
        <v>437</v>
      </c>
      <c r="AE3" s="20" t="s">
        <v>437</v>
      </c>
      <c r="AF3" s="20" t="s">
        <v>402</v>
      </c>
      <c r="AG3" s="20" t="s">
        <v>436</v>
      </c>
      <c r="AH3" s="20" t="s">
        <v>446</v>
      </c>
      <c r="AI3" s="20" t="s">
        <v>405</v>
      </c>
      <c r="AJ3" s="20" t="s">
        <v>405</v>
      </c>
      <c r="AK3" s="20" t="s">
        <v>447</v>
      </c>
      <c r="AL3" s="20" t="s">
        <v>447</v>
      </c>
      <c r="AM3" s="20" t="s">
        <v>448</v>
      </c>
      <c r="AN3" s="20" t="s">
        <v>404</v>
      </c>
      <c r="AO3" s="20" t="s">
        <v>404</v>
      </c>
      <c r="AP3" s="20" t="s">
        <v>420</v>
      </c>
      <c r="AQ3" s="20" t="s">
        <v>417</v>
      </c>
      <c r="AR3" s="20" t="s">
        <v>449</v>
      </c>
      <c r="AS3" s="20" t="s">
        <v>424</v>
      </c>
      <c r="AT3" s="20" t="s">
        <v>436</v>
      </c>
      <c r="AU3" s="20" t="s">
        <v>436</v>
      </c>
      <c r="AV3" s="20" t="s">
        <v>436</v>
      </c>
      <c r="AW3" s="20" t="s">
        <v>445</v>
      </c>
      <c r="AX3" s="20" t="s">
        <v>445</v>
      </c>
      <c r="AY3" s="20" t="s">
        <v>445</v>
      </c>
      <c r="AZ3" s="20" t="s">
        <v>445</v>
      </c>
      <c r="BA3" s="20" t="s">
        <v>400</v>
      </c>
      <c r="BB3" s="20" t="s">
        <v>450</v>
      </c>
      <c r="BC3" s="20" t="s">
        <v>437</v>
      </c>
      <c r="BD3" s="20" t="s">
        <v>437</v>
      </c>
      <c r="BE3" s="20" t="s">
        <v>451</v>
      </c>
      <c r="BF3" s="20" t="s">
        <v>424</v>
      </c>
      <c r="BG3" s="20" t="s">
        <v>451</v>
      </c>
      <c r="BH3" s="20" t="s">
        <v>424</v>
      </c>
      <c r="BI3" s="20" t="s">
        <v>404</v>
      </c>
      <c r="BJ3" s="20" t="s">
        <v>404</v>
      </c>
      <c r="BK3" s="20" t="s">
        <v>412</v>
      </c>
      <c r="BL3" s="20" t="s">
        <v>412</v>
      </c>
      <c r="BM3" s="20" t="s">
        <v>447</v>
      </c>
      <c r="BN3" s="20" t="s">
        <v>437</v>
      </c>
      <c r="BO3" s="20" t="s">
        <v>451</v>
      </c>
      <c r="BP3" s="20" t="s">
        <v>452</v>
      </c>
      <c r="BQ3" s="20" t="s">
        <v>453</v>
      </c>
      <c r="BR3" s="20" t="s">
        <v>453</v>
      </c>
      <c r="BS3" s="20" t="s">
        <v>451</v>
      </c>
      <c r="BT3" s="20" t="s">
        <v>421</v>
      </c>
      <c r="BU3" s="20" t="s">
        <v>453</v>
      </c>
      <c r="BV3" s="20" t="s">
        <v>437</v>
      </c>
      <c r="BW3" s="20" t="s">
        <v>418</v>
      </c>
      <c r="BX3" s="20" t="s">
        <v>406</v>
      </c>
      <c r="BY3" s="20" t="s">
        <v>406</v>
      </c>
      <c r="BZ3" s="20" t="s">
        <v>454</v>
      </c>
      <c r="CA3" s="20" t="s">
        <v>450</v>
      </c>
      <c r="CB3" s="20" t="s">
        <v>436</v>
      </c>
      <c r="CC3" s="20" t="s">
        <v>455</v>
      </c>
      <c r="CF3" s="20" t="s">
        <v>456</v>
      </c>
      <c r="CG3" s="20" t="s">
        <v>457</v>
      </c>
      <c r="CH3" s="20" t="s">
        <v>450</v>
      </c>
      <c r="CI3" s="20" t="s">
        <v>457</v>
      </c>
      <c r="CJ3" s="20" t="s">
        <v>450</v>
      </c>
      <c r="CK3" s="20" t="s">
        <v>457</v>
      </c>
      <c r="CL3" s="20" t="s">
        <v>450</v>
      </c>
      <c r="CM3" s="20" t="s">
        <v>450</v>
      </c>
      <c r="CN3" s="20" t="s">
        <v>450</v>
      </c>
      <c r="CO3" s="20" t="s">
        <v>458</v>
      </c>
      <c r="CP3" s="20" t="s">
        <v>447</v>
      </c>
      <c r="CQ3" s="20" t="s">
        <v>437</v>
      </c>
      <c r="CR3" s="20" t="s">
        <v>459</v>
      </c>
      <c r="CS3" s="20" t="s">
        <v>453</v>
      </c>
      <c r="CT3" s="20" t="s">
        <v>437</v>
      </c>
      <c r="CU3" s="20" t="s">
        <v>460</v>
      </c>
      <c r="CV3" s="20" t="s">
        <v>450</v>
      </c>
      <c r="CW3" s="20" t="s">
        <v>461</v>
      </c>
      <c r="CX3" s="20" t="s">
        <v>437</v>
      </c>
      <c r="CY3" s="20" t="s">
        <v>462</v>
      </c>
      <c r="CZ3" s="20" t="s">
        <v>457</v>
      </c>
      <c r="DA3" s="20" t="s">
        <v>436</v>
      </c>
      <c r="DB3" s="20" t="s">
        <v>436</v>
      </c>
      <c r="DC3" s="20" t="s">
        <v>463</v>
      </c>
      <c r="DD3" s="20" t="s">
        <v>463</v>
      </c>
      <c r="DE3" s="20" t="s">
        <v>463</v>
      </c>
      <c r="DF3" s="20" t="s">
        <v>463</v>
      </c>
      <c r="DG3" s="20" t="s">
        <v>463</v>
      </c>
      <c r="DH3" s="20" t="s">
        <v>463</v>
      </c>
      <c r="DI3" s="20" t="s">
        <v>463</v>
      </c>
      <c r="DJ3" s="20" t="s">
        <v>463</v>
      </c>
      <c r="DK3" s="20" t="s">
        <v>464</v>
      </c>
      <c r="DL3" s="20" t="s">
        <v>464</v>
      </c>
      <c r="DM3" s="20" t="s">
        <v>464</v>
      </c>
      <c r="DN3" s="20" t="s">
        <v>464</v>
      </c>
      <c r="DO3" s="20" t="s">
        <v>464</v>
      </c>
      <c r="DP3" s="20" t="s">
        <v>464</v>
      </c>
      <c r="DQ3" s="20" t="s">
        <v>464</v>
      </c>
      <c r="DR3" s="20" t="s">
        <v>464</v>
      </c>
      <c r="DS3" s="20" t="s">
        <v>464</v>
      </c>
      <c r="DT3" s="20" t="s">
        <v>464</v>
      </c>
      <c r="DU3" s="20" t="s">
        <v>465</v>
      </c>
      <c r="DV3" s="20" t="s">
        <v>465</v>
      </c>
      <c r="DW3" s="20" t="s">
        <v>464</v>
      </c>
      <c r="DX3" s="20" t="s">
        <v>464</v>
      </c>
      <c r="DY3" s="20" t="s">
        <v>464</v>
      </c>
      <c r="DZ3" s="20" t="s">
        <v>464</v>
      </c>
      <c r="EA3" s="20" t="s">
        <v>464</v>
      </c>
      <c r="EB3" s="20" t="s">
        <v>464</v>
      </c>
      <c r="EC3" s="20" t="s">
        <v>464</v>
      </c>
      <c r="ED3" s="20" t="s">
        <v>464</v>
      </c>
      <c r="EE3" s="20" t="s">
        <v>464</v>
      </c>
      <c r="EF3" s="20" t="s">
        <v>464</v>
      </c>
      <c r="EG3" s="20" t="s">
        <v>466</v>
      </c>
      <c r="EH3" s="20" t="s">
        <v>466</v>
      </c>
      <c r="EI3" s="20" t="s">
        <v>466</v>
      </c>
      <c r="EJ3" s="20" t="s">
        <v>466</v>
      </c>
      <c r="EK3" s="20" t="s">
        <v>466</v>
      </c>
      <c r="EL3" s="20" t="s">
        <v>467</v>
      </c>
      <c r="EM3" s="20" t="s">
        <v>466</v>
      </c>
      <c r="EN3" s="20" t="s">
        <v>466</v>
      </c>
      <c r="EO3" s="20" t="s">
        <v>466</v>
      </c>
      <c r="EP3" s="20" t="s">
        <v>466</v>
      </c>
    </row>
    <row r="4" spans="1:146" x14ac:dyDescent="0.25">
      <c r="C4" s="20" t="s">
        <v>468</v>
      </c>
      <c r="D4" s="20" t="s">
        <v>469</v>
      </c>
      <c r="E4" s="20" t="s">
        <v>255</v>
      </c>
      <c r="F4" s="20" t="s">
        <v>470</v>
      </c>
      <c r="G4" s="20" t="s">
        <v>471</v>
      </c>
      <c r="H4" s="20" t="s">
        <v>471</v>
      </c>
      <c r="I4" s="20" t="s">
        <v>472</v>
      </c>
      <c r="J4" s="20" t="s">
        <v>473</v>
      </c>
      <c r="K4" s="20" t="s">
        <v>474</v>
      </c>
      <c r="L4" s="20" t="s">
        <v>474</v>
      </c>
      <c r="M4" s="20" t="s">
        <v>475</v>
      </c>
      <c r="N4" s="20" t="s">
        <v>420</v>
      </c>
      <c r="O4" s="20" t="s">
        <v>420</v>
      </c>
      <c r="P4" s="20" t="s">
        <v>476</v>
      </c>
      <c r="Q4" s="20" t="s">
        <v>477</v>
      </c>
      <c r="R4" s="20" t="s">
        <v>478</v>
      </c>
      <c r="S4" s="20" t="s">
        <v>479</v>
      </c>
      <c r="T4" s="20" t="s">
        <v>479</v>
      </c>
      <c r="U4" s="20" t="s">
        <v>420</v>
      </c>
      <c r="V4" s="20" t="s">
        <v>400</v>
      </c>
      <c r="W4" s="20" t="s">
        <v>400</v>
      </c>
      <c r="X4" s="20" t="s">
        <v>453</v>
      </c>
      <c r="Y4" s="20" t="s">
        <v>480</v>
      </c>
      <c r="Z4" s="20" t="s">
        <v>420</v>
      </c>
      <c r="AA4" s="20" t="s">
        <v>474</v>
      </c>
      <c r="AB4" s="20" t="s">
        <v>420</v>
      </c>
      <c r="AC4" s="20" t="s">
        <v>451</v>
      </c>
      <c r="AD4" s="20" t="s">
        <v>474</v>
      </c>
      <c r="AE4" s="20" t="s">
        <v>474</v>
      </c>
      <c r="AF4" s="20" t="s">
        <v>478</v>
      </c>
      <c r="AG4" s="20" t="s">
        <v>446</v>
      </c>
      <c r="AH4" s="20" t="s">
        <v>400</v>
      </c>
      <c r="AI4" s="20" t="s">
        <v>420</v>
      </c>
      <c r="AJ4" s="20" t="s">
        <v>420</v>
      </c>
      <c r="AK4" s="20" t="s">
        <v>481</v>
      </c>
      <c r="AL4" s="20" t="s">
        <v>481</v>
      </c>
      <c r="AM4" s="20" t="s">
        <v>420</v>
      </c>
      <c r="AN4" s="20" t="s">
        <v>482</v>
      </c>
      <c r="AO4" s="20" t="s">
        <v>482</v>
      </c>
      <c r="AP4" s="20" t="s">
        <v>437</v>
      </c>
      <c r="AQ4" s="20" t="s">
        <v>481</v>
      </c>
      <c r="AR4" s="20" t="s">
        <v>483</v>
      </c>
      <c r="AS4" s="20" t="s">
        <v>482</v>
      </c>
      <c r="AT4" s="20" t="s">
        <v>484</v>
      </c>
      <c r="AU4" s="20" t="s">
        <v>484</v>
      </c>
      <c r="AV4" s="20" t="s">
        <v>485</v>
      </c>
      <c r="AW4" s="20" t="s">
        <v>425</v>
      </c>
      <c r="AX4" s="20" t="s">
        <v>425</v>
      </c>
      <c r="AY4" s="20" t="s">
        <v>425</v>
      </c>
      <c r="AZ4" s="20" t="s">
        <v>425</v>
      </c>
      <c r="BA4" s="20" t="s">
        <v>437</v>
      </c>
      <c r="BB4" s="20" t="s">
        <v>420</v>
      </c>
      <c r="BC4" s="20" t="s">
        <v>474</v>
      </c>
      <c r="BD4" s="20" t="s">
        <v>474</v>
      </c>
      <c r="BE4" s="20" t="s">
        <v>426</v>
      </c>
      <c r="BF4" s="20" t="s">
        <v>482</v>
      </c>
      <c r="BG4" s="20" t="s">
        <v>426</v>
      </c>
      <c r="BH4" s="20" t="s">
        <v>455</v>
      </c>
      <c r="BI4" s="20" t="s">
        <v>486</v>
      </c>
      <c r="BJ4" s="20" t="s">
        <v>482</v>
      </c>
      <c r="BK4" s="20" t="s">
        <v>448</v>
      </c>
      <c r="BL4" s="20" t="s">
        <v>448</v>
      </c>
      <c r="BM4" s="20" t="s">
        <v>424</v>
      </c>
      <c r="BN4" s="20" t="s">
        <v>487</v>
      </c>
      <c r="BO4" s="20" t="s">
        <v>426</v>
      </c>
      <c r="BP4" s="20" t="s">
        <v>488</v>
      </c>
      <c r="BQ4" s="20" t="s">
        <v>425</v>
      </c>
      <c r="BR4" s="20" t="s">
        <v>400</v>
      </c>
      <c r="BS4" s="20" t="s">
        <v>426</v>
      </c>
      <c r="BT4" s="20" t="s">
        <v>453</v>
      </c>
      <c r="BU4" s="20" t="s">
        <v>425</v>
      </c>
      <c r="BV4" s="20" t="s">
        <v>474</v>
      </c>
      <c r="BW4" s="20" t="s">
        <v>402</v>
      </c>
      <c r="BX4" s="20" t="s">
        <v>428</v>
      </c>
      <c r="BY4" s="20" t="s">
        <v>428</v>
      </c>
      <c r="BZ4" s="20" t="s">
        <v>489</v>
      </c>
      <c r="CA4" s="20" t="s">
        <v>428</v>
      </c>
      <c r="CB4" s="20" t="s">
        <v>428</v>
      </c>
      <c r="CC4" s="20" t="s">
        <v>490</v>
      </c>
      <c r="CF4" s="20" t="s">
        <v>491</v>
      </c>
      <c r="CG4" s="20" t="s">
        <v>426</v>
      </c>
      <c r="CH4" s="20" t="s">
        <v>428</v>
      </c>
      <c r="CI4" s="20" t="s">
        <v>426</v>
      </c>
      <c r="CJ4" s="20" t="s">
        <v>400</v>
      </c>
      <c r="CK4" s="20" t="s">
        <v>426</v>
      </c>
      <c r="CL4" s="20" t="s">
        <v>428</v>
      </c>
      <c r="CM4" s="20" t="s">
        <v>428</v>
      </c>
      <c r="CN4" s="20" t="s">
        <v>428</v>
      </c>
      <c r="CO4" s="20" t="s">
        <v>492</v>
      </c>
      <c r="CP4" s="20" t="s">
        <v>400</v>
      </c>
      <c r="CQ4" s="20" t="s">
        <v>493</v>
      </c>
      <c r="CR4" s="20" t="s">
        <v>494</v>
      </c>
      <c r="CS4" s="20" t="s">
        <v>451</v>
      </c>
      <c r="CT4" s="20" t="s">
        <v>458</v>
      </c>
      <c r="CU4" s="20" t="s">
        <v>481</v>
      </c>
      <c r="CV4" s="20" t="s">
        <v>428</v>
      </c>
      <c r="CW4" s="20" t="s">
        <v>424</v>
      </c>
      <c r="CX4" s="20" t="s">
        <v>474</v>
      </c>
      <c r="CY4" s="20" t="s">
        <v>495</v>
      </c>
      <c r="CZ4" s="20" t="s">
        <v>485</v>
      </c>
      <c r="DA4" s="20" t="s">
        <v>420</v>
      </c>
      <c r="DB4" s="20" t="s">
        <v>458</v>
      </c>
      <c r="DC4" s="20" t="s">
        <v>496</v>
      </c>
      <c r="DD4" s="20" t="s">
        <v>496</v>
      </c>
      <c r="DE4" s="20" t="s">
        <v>496</v>
      </c>
      <c r="DF4" s="20" t="s">
        <v>496</v>
      </c>
      <c r="DG4" s="20" t="s">
        <v>496</v>
      </c>
      <c r="DH4" s="20" t="s">
        <v>496</v>
      </c>
      <c r="DI4" s="20" t="s">
        <v>496</v>
      </c>
      <c r="DJ4" s="20" t="s">
        <v>496</v>
      </c>
      <c r="DK4" s="20" t="s">
        <v>496</v>
      </c>
      <c r="DL4" s="20" t="s">
        <v>496</v>
      </c>
      <c r="DM4" s="20" t="s">
        <v>496</v>
      </c>
      <c r="DN4" s="20" t="s">
        <v>496</v>
      </c>
      <c r="DO4" s="20" t="s">
        <v>496</v>
      </c>
      <c r="DP4" s="20" t="s">
        <v>496</v>
      </c>
      <c r="DQ4" s="20" t="s">
        <v>496</v>
      </c>
      <c r="DR4" s="20" t="s">
        <v>496</v>
      </c>
      <c r="DS4" s="20" t="s">
        <v>496</v>
      </c>
      <c r="DT4" s="20" t="s">
        <v>496</v>
      </c>
      <c r="DW4" s="20" t="s">
        <v>497</v>
      </c>
      <c r="DX4" s="20" t="s">
        <v>497</v>
      </c>
      <c r="DY4" s="20" t="s">
        <v>497</v>
      </c>
      <c r="DZ4" s="20" t="s">
        <v>497</v>
      </c>
      <c r="EA4" s="20" t="s">
        <v>497</v>
      </c>
      <c r="EB4" s="20" t="s">
        <v>497</v>
      </c>
      <c r="EC4" s="20" t="s">
        <v>497</v>
      </c>
      <c r="ED4" s="20" t="s">
        <v>497</v>
      </c>
      <c r="EE4" s="20" t="s">
        <v>497</v>
      </c>
      <c r="EF4" s="20" t="s">
        <v>497</v>
      </c>
      <c r="EG4" s="20" t="s">
        <v>498</v>
      </c>
      <c r="EH4" s="20" t="s">
        <v>498</v>
      </c>
      <c r="EI4" s="20" t="s">
        <v>498</v>
      </c>
      <c r="EJ4" s="20" t="s">
        <v>498</v>
      </c>
      <c r="EK4" s="20" t="s">
        <v>498</v>
      </c>
      <c r="EL4" s="20" t="s">
        <v>499</v>
      </c>
      <c r="EM4" s="20" t="s">
        <v>498</v>
      </c>
      <c r="EN4" s="20" t="s">
        <v>498</v>
      </c>
      <c r="EO4" s="20" t="s">
        <v>498</v>
      </c>
      <c r="EP4" s="20" t="s">
        <v>498</v>
      </c>
    </row>
    <row r="5" spans="1:146" x14ac:dyDescent="0.25">
      <c r="C5" s="20" t="s">
        <v>500</v>
      </c>
      <c r="D5" s="20" t="s">
        <v>501</v>
      </c>
      <c r="E5" s="20" t="s">
        <v>256</v>
      </c>
      <c r="F5" s="20" t="s">
        <v>494</v>
      </c>
      <c r="G5" s="20" t="s">
        <v>470</v>
      </c>
      <c r="H5" s="20" t="s">
        <v>451</v>
      </c>
      <c r="I5" s="20" t="s">
        <v>502</v>
      </c>
      <c r="J5" s="20" t="s">
        <v>503</v>
      </c>
      <c r="K5" s="20" t="s">
        <v>504</v>
      </c>
      <c r="L5" s="20" t="s">
        <v>504</v>
      </c>
      <c r="M5" s="20" t="s">
        <v>505</v>
      </c>
      <c r="N5" s="20" t="s">
        <v>437</v>
      </c>
      <c r="O5" s="20" t="s">
        <v>437</v>
      </c>
      <c r="P5" s="20" t="s">
        <v>506</v>
      </c>
      <c r="Q5" s="20" t="s">
        <v>507</v>
      </c>
      <c r="R5" s="20" t="s">
        <v>508</v>
      </c>
      <c r="S5" s="20" t="s">
        <v>494</v>
      </c>
      <c r="T5" s="20" t="s">
        <v>494</v>
      </c>
      <c r="U5" s="20" t="s">
        <v>437</v>
      </c>
      <c r="V5" s="20" t="s">
        <v>437</v>
      </c>
      <c r="W5" s="20" t="s">
        <v>437</v>
      </c>
      <c r="X5" s="20" t="s">
        <v>451</v>
      </c>
      <c r="Y5" s="20" t="s">
        <v>451</v>
      </c>
      <c r="Z5" s="20" t="s">
        <v>437</v>
      </c>
      <c r="AA5" s="20" t="s">
        <v>504</v>
      </c>
      <c r="AB5" s="20" t="s">
        <v>437</v>
      </c>
      <c r="AC5" s="20" t="s">
        <v>509</v>
      </c>
      <c r="AD5" s="20" t="s">
        <v>504</v>
      </c>
      <c r="AE5" s="20" t="s">
        <v>504</v>
      </c>
      <c r="AF5" s="20" t="s">
        <v>510</v>
      </c>
      <c r="AG5" s="20" t="s">
        <v>511</v>
      </c>
      <c r="AH5" s="20" t="s">
        <v>437</v>
      </c>
      <c r="AI5" s="20" t="s">
        <v>424</v>
      </c>
      <c r="AJ5" s="20" t="s">
        <v>424</v>
      </c>
      <c r="AK5" s="20" t="s">
        <v>424</v>
      </c>
      <c r="AL5" s="20" t="s">
        <v>424</v>
      </c>
      <c r="AM5" s="20" t="s">
        <v>512</v>
      </c>
      <c r="AN5" s="20" t="s">
        <v>513</v>
      </c>
      <c r="AO5" s="20" t="s">
        <v>513</v>
      </c>
      <c r="AP5" s="20" t="s">
        <v>512</v>
      </c>
      <c r="AQ5" s="20" t="s">
        <v>437</v>
      </c>
      <c r="AR5" s="20" t="s">
        <v>514</v>
      </c>
      <c r="AS5" s="20" t="s">
        <v>515</v>
      </c>
      <c r="AT5" s="20" t="s">
        <v>437</v>
      </c>
      <c r="AU5" s="20" t="s">
        <v>437</v>
      </c>
      <c r="AV5" s="20" t="s">
        <v>458</v>
      </c>
      <c r="AW5" s="20" t="s">
        <v>494</v>
      </c>
      <c r="AX5" s="20" t="s">
        <v>426</v>
      </c>
      <c r="AY5" s="20" t="s">
        <v>426</v>
      </c>
      <c r="AZ5" s="20" t="s">
        <v>426</v>
      </c>
      <c r="BA5" s="20" t="s">
        <v>516</v>
      </c>
      <c r="BB5" s="20" t="s">
        <v>437</v>
      </c>
      <c r="BC5" s="20" t="s">
        <v>504</v>
      </c>
      <c r="BD5" s="20" t="s">
        <v>504</v>
      </c>
      <c r="BE5" s="20" t="s">
        <v>517</v>
      </c>
      <c r="BF5" s="20" t="s">
        <v>518</v>
      </c>
      <c r="BG5" s="20" t="s">
        <v>517</v>
      </c>
      <c r="BH5" s="20" t="s">
        <v>518</v>
      </c>
      <c r="BI5" s="20" t="s">
        <v>482</v>
      </c>
      <c r="BJ5" s="20" t="s">
        <v>519</v>
      </c>
      <c r="BK5" s="20" t="s">
        <v>520</v>
      </c>
      <c r="BL5" s="20" t="s">
        <v>520</v>
      </c>
      <c r="BM5" s="20" t="s">
        <v>521</v>
      </c>
      <c r="BN5" s="20" t="s">
        <v>522</v>
      </c>
      <c r="BO5" s="20" t="s">
        <v>517</v>
      </c>
      <c r="BP5" s="20" t="s">
        <v>482</v>
      </c>
      <c r="BQ5" s="20" t="s">
        <v>451</v>
      </c>
      <c r="BR5" s="20" t="s">
        <v>437</v>
      </c>
      <c r="BS5" s="20" t="s">
        <v>517</v>
      </c>
      <c r="BT5" s="20" t="s">
        <v>424</v>
      </c>
      <c r="BU5" s="20" t="s">
        <v>451</v>
      </c>
      <c r="BV5" s="20" t="s">
        <v>504</v>
      </c>
      <c r="BW5" s="20" t="s">
        <v>450</v>
      </c>
      <c r="BX5" s="20" t="s">
        <v>400</v>
      </c>
      <c r="BY5" s="20" t="s">
        <v>400</v>
      </c>
      <c r="BZ5" s="20" t="s">
        <v>523</v>
      </c>
      <c r="CA5" s="20" t="s">
        <v>437</v>
      </c>
      <c r="CB5" s="20" t="s">
        <v>437</v>
      </c>
      <c r="CC5" s="20" t="s">
        <v>524</v>
      </c>
      <c r="CF5" s="20" t="s">
        <v>525</v>
      </c>
      <c r="CG5" s="20" t="s">
        <v>485</v>
      </c>
      <c r="CH5" s="20" t="s">
        <v>437</v>
      </c>
      <c r="CI5" s="20" t="s">
        <v>485</v>
      </c>
      <c r="CJ5" s="20" t="s">
        <v>437</v>
      </c>
      <c r="CK5" s="20" t="s">
        <v>485</v>
      </c>
      <c r="CL5" s="20" t="s">
        <v>437</v>
      </c>
      <c r="CM5" s="20" t="s">
        <v>437</v>
      </c>
      <c r="CN5" s="20" t="s">
        <v>437</v>
      </c>
      <c r="CO5" s="20" t="s">
        <v>526</v>
      </c>
      <c r="CP5" s="20" t="s">
        <v>437</v>
      </c>
      <c r="CQ5" s="20" t="s">
        <v>527</v>
      </c>
      <c r="CR5" s="20" t="s">
        <v>456</v>
      </c>
      <c r="CS5" s="20" t="s">
        <v>485</v>
      </c>
      <c r="CT5" s="20" t="s">
        <v>492</v>
      </c>
      <c r="CU5" s="20" t="s">
        <v>482</v>
      </c>
      <c r="CV5" s="20" t="s">
        <v>437</v>
      </c>
      <c r="CW5" s="20" t="s">
        <v>455</v>
      </c>
      <c r="CX5" s="20" t="s">
        <v>504</v>
      </c>
      <c r="CY5" s="20" t="s">
        <v>482</v>
      </c>
      <c r="CZ5" s="20" t="s">
        <v>528</v>
      </c>
      <c r="DA5" s="20" t="s">
        <v>485</v>
      </c>
      <c r="DB5" s="20" t="s">
        <v>517</v>
      </c>
      <c r="DC5" s="20" t="s">
        <v>529</v>
      </c>
      <c r="DD5" s="20" t="s">
        <v>529</v>
      </c>
      <c r="DE5" s="20" t="s">
        <v>529</v>
      </c>
      <c r="DF5" s="20" t="s">
        <v>529</v>
      </c>
      <c r="DG5" s="20" t="s">
        <v>529</v>
      </c>
      <c r="DH5" s="20" t="s">
        <v>529</v>
      </c>
      <c r="DI5" s="20" t="s">
        <v>529</v>
      </c>
      <c r="DJ5" s="20" t="s">
        <v>529</v>
      </c>
      <c r="DK5" s="20" t="s">
        <v>529</v>
      </c>
      <c r="DL5" s="20" t="s">
        <v>529</v>
      </c>
      <c r="DM5" s="20" t="s">
        <v>529</v>
      </c>
      <c r="DN5" s="20" t="s">
        <v>529</v>
      </c>
      <c r="DO5" s="20" t="s">
        <v>529</v>
      </c>
      <c r="DP5" s="20" t="s">
        <v>529</v>
      </c>
      <c r="DQ5" s="20" t="s">
        <v>529</v>
      </c>
      <c r="DR5" s="20" t="s">
        <v>529</v>
      </c>
      <c r="DS5" s="20" t="s">
        <v>529</v>
      </c>
      <c r="DT5" s="20" t="s">
        <v>529</v>
      </c>
      <c r="DW5" s="20" t="s">
        <v>529</v>
      </c>
      <c r="DX5" s="20" t="s">
        <v>529</v>
      </c>
      <c r="DY5" s="20" t="s">
        <v>529</v>
      </c>
      <c r="DZ5" s="20" t="s">
        <v>529</v>
      </c>
      <c r="EA5" s="20" t="s">
        <v>529</v>
      </c>
      <c r="EB5" s="20" t="s">
        <v>529</v>
      </c>
      <c r="EC5" s="20" t="s">
        <v>529</v>
      </c>
      <c r="ED5" s="20" t="s">
        <v>529</v>
      </c>
      <c r="EE5" s="20" t="s">
        <v>529</v>
      </c>
      <c r="EF5" s="20" t="s">
        <v>529</v>
      </c>
      <c r="EG5" s="20" t="s">
        <v>529</v>
      </c>
      <c r="EH5" s="20" t="s">
        <v>529</v>
      </c>
      <c r="EI5" s="20" t="s">
        <v>529</v>
      </c>
      <c r="EJ5" s="20" t="s">
        <v>529</v>
      </c>
      <c r="EK5" s="20" t="s">
        <v>529</v>
      </c>
      <c r="EL5" s="20" t="s">
        <v>529</v>
      </c>
      <c r="EM5" s="20" t="s">
        <v>529</v>
      </c>
      <c r="EN5" s="20" t="s">
        <v>529</v>
      </c>
      <c r="EO5" s="20" t="s">
        <v>529</v>
      </c>
      <c r="EP5" s="20" t="s">
        <v>529</v>
      </c>
    </row>
    <row r="6" spans="1:146" x14ac:dyDescent="0.25">
      <c r="D6" s="20" t="s">
        <v>530</v>
      </c>
      <c r="E6" s="20" t="s">
        <v>257</v>
      </c>
      <c r="F6" s="20" t="s">
        <v>531</v>
      </c>
      <c r="G6" s="20" t="s">
        <v>517</v>
      </c>
      <c r="H6" s="20" t="s">
        <v>517</v>
      </c>
      <c r="I6" s="20" t="s">
        <v>532</v>
      </c>
      <c r="J6" s="20" t="s">
        <v>437</v>
      </c>
      <c r="K6" s="20" t="s">
        <v>533</v>
      </c>
      <c r="L6" s="20" t="s">
        <v>533</v>
      </c>
      <c r="M6" s="20" t="s">
        <v>534</v>
      </c>
      <c r="N6" s="20" t="s">
        <v>487</v>
      </c>
      <c r="O6" s="20" t="s">
        <v>511</v>
      </c>
      <c r="P6" s="20" t="s">
        <v>535</v>
      </c>
      <c r="Q6" s="20" t="s">
        <v>536</v>
      </c>
      <c r="R6" s="20" t="s">
        <v>441</v>
      </c>
      <c r="S6" s="20" t="s">
        <v>537</v>
      </c>
      <c r="T6" s="20" t="s">
        <v>537</v>
      </c>
      <c r="U6" s="20" t="s">
        <v>512</v>
      </c>
      <c r="V6" s="20" t="s">
        <v>517</v>
      </c>
      <c r="W6" s="20" t="s">
        <v>517</v>
      </c>
      <c r="X6" s="20" t="s">
        <v>538</v>
      </c>
      <c r="Y6" s="20" t="s">
        <v>517</v>
      </c>
      <c r="Z6" s="20" t="s">
        <v>512</v>
      </c>
      <c r="AA6" s="20" t="s">
        <v>533</v>
      </c>
      <c r="AB6" s="20" t="s">
        <v>539</v>
      </c>
      <c r="AC6" s="20" t="s">
        <v>540</v>
      </c>
      <c r="AD6" s="20" t="s">
        <v>541</v>
      </c>
      <c r="AE6" s="20" t="s">
        <v>541</v>
      </c>
      <c r="AF6" s="20" t="s">
        <v>542</v>
      </c>
      <c r="AG6" s="20" t="s">
        <v>492</v>
      </c>
      <c r="AH6" s="20" t="s">
        <v>543</v>
      </c>
      <c r="AI6" s="20" t="s">
        <v>544</v>
      </c>
      <c r="AJ6" s="20" t="s">
        <v>544</v>
      </c>
      <c r="AK6" s="20" t="s">
        <v>545</v>
      </c>
      <c r="AL6" s="20" t="s">
        <v>545</v>
      </c>
      <c r="AM6" s="20" t="s">
        <v>546</v>
      </c>
      <c r="AN6" s="20" t="s">
        <v>510</v>
      </c>
      <c r="AO6" s="20" t="s">
        <v>510</v>
      </c>
      <c r="AP6" s="20" t="s">
        <v>547</v>
      </c>
      <c r="AQ6" s="20" t="s">
        <v>548</v>
      </c>
      <c r="AR6" s="20" t="s">
        <v>485</v>
      </c>
      <c r="AS6" s="20" t="s">
        <v>458</v>
      </c>
      <c r="AT6" s="20" t="s">
        <v>549</v>
      </c>
      <c r="AU6" s="20" t="s">
        <v>549</v>
      </c>
      <c r="AV6" s="20" t="s">
        <v>550</v>
      </c>
      <c r="AW6" s="20" t="s">
        <v>551</v>
      </c>
      <c r="AX6" s="20" t="s">
        <v>485</v>
      </c>
      <c r="AY6" s="20" t="s">
        <v>517</v>
      </c>
      <c r="AZ6" s="20" t="s">
        <v>517</v>
      </c>
      <c r="BA6" s="20" t="s">
        <v>543</v>
      </c>
      <c r="BB6" s="20" t="s">
        <v>458</v>
      </c>
      <c r="BC6" s="20" t="s">
        <v>517</v>
      </c>
      <c r="BD6" s="20" t="s">
        <v>517</v>
      </c>
      <c r="BE6" s="20" t="s">
        <v>552</v>
      </c>
      <c r="BF6" s="20" t="s">
        <v>510</v>
      </c>
      <c r="BG6" s="20" t="s">
        <v>552</v>
      </c>
      <c r="BH6" s="20" t="s">
        <v>553</v>
      </c>
      <c r="BI6" s="20" t="s">
        <v>525</v>
      </c>
      <c r="BJ6" s="20" t="s">
        <v>525</v>
      </c>
      <c r="BK6" s="20" t="s">
        <v>553</v>
      </c>
      <c r="BL6" s="20" t="s">
        <v>553</v>
      </c>
      <c r="BM6" s="20" t="s">
        <v>554</v>
      </c>
      <c r="BN6" s="20" t="s">
        <v>512</v>
      </c>
      <c r="BO6" s="20" t="s">
        <v>552</v>
      </c>
      <c r="BP6" s="20" t="s">
        <v>555</v>
      </c>
      <c r="BQ6" s="20" t="s">
        <v>551</v>
      </c>
      <c r="BR6" s="20" t="s">
        <v>517</v>
      </c>
      <c r="BS6" s="20" t="s">
        <v>552</v>
      </c>
      <c r="BT6" s="20" t="s">
        <v>455</v>
      </c>
      <c r="BU6" s="20" t="s">
        <v>551</v>
      </c>
      <c r="BV6" s="20" t="s">
        <v>517</v>
      </c>
      <c r="BW6" s="20" t="s">
        <v>414</v>
      </c>
      <c r="BX6" s="20" t="s">
        <v>556</v>
      </c>
      <c r="BY6" s="20" t="s">
        <v>556</v>
      </c>
      <c r="CA6" s="20" t="s">
        <v>556</v>
      </c>
      <c r="CB6" s="20" t="s">
        <v>485</v>
      </c>
      <c r="CC6" s="20" t="s">
        <v>518</v>
      </c>
      <c r="CG6" s="20" t="s">
        <v>537</v>
      </c>
      <c r="CH6" s="20" t="s">
        <v>526</v>
      </c>
      <c r="CI6" s="20" t="s">
        <v>537</v>
      </c>
      <c r="CJ6" s="20" t="s">
        <v>474</v>
      </c>
      <c r="CK6" s="20" t="s">
        <v>537</v>
      </c>
      <c r="CL6" s="20" t="s">
        <v>526</v>
      </c>
      <c r="CM6" s="20" t="s">
        <v>557</v>
      </c>
      <c r="CN6" s="20" t="s">
        <v>557</v>
      </c>
      <c r="CO6" s="20" t="s">
        <v>547</v>
      </c>
      <c r="CP6" s="20" t="s">
        <v>517</v>
      </c>
      <c r="CQ6" s="20" t="s">
        <v>517</v>
      </c>
      <c r="CR6" s="20" t="s">
        <v>491</v>
      </c>
      <c r="CS6" s="20" t="s">
        <v>491</v>
      </c>
      <c r="CT6" s="20" t="s">
        <v>526</v>
      </c>
      <c r="CU6" s="20" t="s">
        <v>558</v>
      </c>
      <c r="CV6" s="20" t="s">
        <v>556</v>
      </c>
      <c r="CW6" s="20" t="s">
        <v>559</v>
      </c>
      <c r="CX6" s="20" t="s">
        <v>560</v>
      </c>
      <c r="CY6" s="20" t="s">
        <v>542</v>
      </c>
      <c r="CZ6" s="20" t="s">
        <v>517</v>
      </c>
      <c r="DA6" s="20" t="s">
        <v>458</v>
      </c>
      <c r="DB6" s="20" t="s">
        <v>492</v>
      </c>
    </row>
    <row r="7" spans="1:146" x14ac:dyDescent="0.25">
      <c r="D7" s="20" t="s">
        <v>561</v>
      </c>
      <c r="E7" s="20" t="s">
        <v>258</v>
      </c>
      <c r="F7" s="20" t="s">
        <v>562</v>
      </c>
      <c r="G7" s="20" t="s">
        <v>563</v>
      </c>
      <c r="H7" s="20" t="s">
        <v>563</v>
      </c>
      <c r="I7" s="20" t="s">
        <v>564</v>
      </c>
      <c r="J7" s="20" t="s">
        <v>565</v>
      </c>
      <c r="K7" s="20" t="s">
        <v>565</v>
      </c>
      <c r="L7" s="20" t="s">
        <v>565</v>
      </c>
      <c r="M7" s="20" t="s">
        <v>566</v>
      </c>
      <c r="N7" s="20" t="s">
        <v>492</v>
      </c>
      <c r="O7" s="20" t="s">
        <v>458</v>
      </c>
      <c r="P7" s="20" t="s">
        <v>567</v>
      </c>
      <c r="Q7" s="20" t="s">
        <v>568</v>
      </c>
      <c r="R7" s="20" t="s">
        <v>477</v>
      </c>
      <c r="S7" s="20" t="s">
        <v>552</v>
      </c>
      <c r="T7" s="20" t="s">
        <v>552</v>
      </c>
      <c r="U7" s="20" t="s">
        <v>547</v>
      </c>
      <c r="V7" s="20" t="s">
        <v>492</v>
      </c>
      <c r="W7" s="20" t="s">
        <v>492</v>
      </c>
      <c r="X7" s="20" t="s">
        <v>552</v>
      </c>
      <c r="Y7" s="20" t="s">
        <v>537</v>
      </c>
      <c r="Z7" s="20" t="s">
        <v>547</v>
      </c>
      <c r="AA7" s="20" t="s">
        <v>565</v>
      </c>
      <c r="AB7" s="20" t="s">
        <v>569</v>
      </c>
      <c r="AC7" s="20" t="s">
        <v>570</v>
      </c>
      <c r="AD7" s="20" t="s">
        <v>571</v>
      </c>
      <c r="AE7" s="20" t="s">
        <v>571</v>
      </c>
      <c r="AF7" s="20" t="s">
        <v>572</v>
      </c>
      <c r="AG7" s="20" t="s">
        <v>573</v>
      </c>
      <c r="AH7" s="20" t="s">
        <v>547</v>
      </c>
      <c r="AI7" s="20" t="s">
        <v>490</v>
      </c>
      <c r="AJ7" s="20" t="s">
        <v>490</v>
      </c>
      <c r="AK7" s="20" t="s">
        <v>490</v>
      </c>
      <c r="AL7" s="20" t="s">
        <v>490</v>
      </c>
      <c r="AM7" s="20" t="s">
        <v>525</v>
      </c>
      <c r="AN7" s="20" t="s">
        <v>546</v>
      </c>
      <c r="AO7" s="20" t="s">
        <v>546</v>
      </c>
      <c r="AP7" s="20" t="s">
        <v>573</v>
      </c>
      <c r="AQ7" s="20" t="s">
        <v>565</v>
      </c>
      <c r="AR7" s="20" t="s">
        <v>574</v>
      </c>
      <c r="AS7" s="20" t="s">
        <v>525</v>
      </c>
      <c r="AT7" s="20" t="s">
        <v>458</v>
      </c>
      <c r="AU7" s="20" t="s">
        <v>458</v>
      </c>
      <c r="AV7" s="20" t="s">
        <v>522</v>
      </c>
      <c r="AW7" s="20" t="s">
        <v>456</v>
      </c>
      <c r="AX7" s="20" t="s">
        <v>537</v>
      </c>
      <c r="AY7" s="20" t="s">
        <v>456</v>
      </c>
      <c r="AZ7" s="20" t="s">
        <v>456</v>
      </c>
      <c r="BA7" s="20" t="s">
        <v>547</v>
      </c>
      <c r="BB7" s="20" t="s">
        <v>550</v>
      </c>
      <c r="BC7" s="20" t="s">
        <v>522</v>
      </c>
      <c r="BD7" s="20" t="s">
        <v>522</v>
      </c>
      <c r="BE7" s="20" t="s">
        <v>575</v>
      </c>
      <c r="BF7" s="20" t="s">
        <v>525</v>
      </c>
      <c r="BG7" s="20" t="s">
        <v>575</v>
      </c>
      <c r="BH7" s="20" t="s">
        <v>525</v>
      </c>
      <c r="BI7" s="20" t="s">
        <v>576</v>
      </c>
      <c r="BJ7" s="20" t="s">
        <v>576</v>
      </c>
      <c r="BK7" s="20" t="s">
        <v>525</v>
      </c>
      <c r="BL7" s="20" t="s">
        <v>525</v>
      </c>
      <c r="BM7" s="20" t="s">
        <v>542</v>
      </c>
      <c r="BN7" s="20" t="s">
        <v>518</v>
      </c>
      <c r="BO7" s="20" t="s">
        <v>575</v>
      </c>
      <c r="BP7" s="20" t="s">
        <v>523</v>
      </c>
      <c r="BQ7" s="20" t="s">
        <v>456</v>
      </c>
      <c r="BR7" s="20" t="s">
        <v>492</v>
      </c>
      <c r="BS7" s="20" t="s">
        <v>575</v>
      </c>
      <c r="BT7" s="20" t="s">
        <v>525</v>
      </c>
      <c r="BU7" s="20" t="s">
        <v>456</v>
      </c>
      <c r="BV7" s="20" t="s">
        <v>492</v>
      </c>
      <c r="BW7" s="20" t="s">
        <v>577</v>
      </c>
      <c r="BX7" s="20" t="s">
        <v>474</v>
      </c>
      <c r="BY7" s="20" t="s">
        <v>474</v>
      </c>
      <c r="CA7" s="20" t="s">
        <v>504</v>
      </c>
      <c r="CB7" s="20" t="s">
        <v>458</v>
      </c>
      <c r="CC7" s="20" t="s">
        <v>553</v>
      </c>
      <c r="CG7" s="20" t="s">
        <v>578</v>
      </c>
      <c r="CH7" s="20" t="s">
        <v>547</v>
      </c>
      <c r="CI7" s="20" t="s">
        <v>578</v>
      </c>
      <c r="CJ7" s="20" t="s">
        <v>504</v>
      </c>
      <c r="CK7" s="20" t="s">
        <v>578</v>
      </c>
      <c r="CL7" s="20" t="s">
        <v>547</v>
      </c>
      <c r="CM7" s="20" t="s">
        <v>458</v>
      </c>
      <c r="CN7" s="20" t="s">
        <v>458</v>
      </c>
      <c r="CO7" s="20" t="s">
        <v>525</v>
      </c>
      <c r="CP7" s="20" t="s">
        <v>554</v>
      </c>
      <c r="CQ7" s="20" t="s">
        <v>492</v>
      </c>
      <c r="CR7" s="20" t="s">
        <v>575</v>
      </c>
      <c r="CS7" s="20" t="s">
        <v>578</v>
      </c>
      <c r="CT7" s="20" t="s">
        <v>547</v>
      </c>
      <c r="CU7" s="20" t="s">
        <v>538</v>
      </c>
      <c r="CV7" s="20" t="s">
        <v>504</v>
      </c>
      <c r="CW7" s="20" t="s">
        <v>579</v>
      </c>
      <c r="CX7" s="20" t="s">
        <v>580</v>
      </c>
      <c r="CY7" s="20" t="s">
        <v>523</v>
      </c>
      <c r="CZ7" s="20" t="s">
        <v>578</v>
      </c>
      <c r="DA7" s="20" t="s">
        <v>569</v>
      </c>
      <c r="DB7" s="20" t="s">
        <v>578</v>
      </c>
    </row>
    <row r="8" spans="1:146" x14ac:dyDescent="0.25">
      <c r="D8" s="20" t="s">
        <v>581</v>
      </c>
      <c r="E8" s="20" t="s">
        <v>259</v>
      </c>
    </row>
    <row r="9" spans="1:146" x14ac:dyDescent="0.25">
      <c r="D9" s="20" t="s">
        <v>582</v>
      </c>
      <c r="E9" s="20" t="s">
        <v>260</v>
      </c>
    </row>
    <row r="10" spans="1:146" x14ac:dyDescent="0.25">
      <c r="D10" s="20" t="s">
        <v>583</v>
      </c>
      <c r="E10" s="20" t="s">
        <v>261</v>
      </c>
    </row>
    <row r="11" spans="1:146" x14ac:dyDescent="0.25">
      <c r="D11" s="20" t="s">
        <v>584</v>
      </c>
      <c r="E11" s="20" t="s">
        <v>262</v>
      </c>
    </row>
    <row r="12" spans="1:146" x14ac:dyDescent="0.25">
      <c r="D12" s="20" t="s">
        <v>585</v>
      </c>
      <c r="E12" s="20" t="s">
        <v>263</v>
      </c>
    </row>
    <row r="13" spans="1:146" x14ac:dyDescent="0.25">
      <c r="D13" s="20" t="s">
        <v>586</v>
      </c>
      <c r="E13" s="20" t="s">
        <v>264</v>
      </c>
    </row>
    <row r="14" spans="1:146" x14ac:dyDescent="0.25">
      <c r="D14" s="20" t="s">
        <v>587</v>
      </c>
      <c r="E14" s="20" t="s">
        <v>265</v>
      </c>
    </row>
    <row r="15" spans="1:146" x14ac:dyDescent="0.25">
      <c r="D15" s="20" t="s">
        <v>588</v>
      </c>
      <c r="E15" s="20" t="s">
        <v>266</v>
      </c>
    </row>
    <row r="16" spans="1:146" x14ac:dyDescent="0.25">
      <c r="D16" s="20" t="s">
        <v>589</v>
      </c>
      <c r="E16" s="20" t="s">
        <v>267</v>
      </c>
    </row>
    <row r="17" spans="4:5" x14ac:dyDescent="0.25">
      <c r="D17" s="20" t="s">
        <v>590</v>
      </c>
      <c r="E17" s="20" t="s">
        <v>268</v>
      </c>
    </row>
    <row r="18" spans="4:5" x14ac:dyDescent="0.25">
      <c r="D18" s="20" t="s">
        <v>591</v>
      </c>
      <c r="E18" s="20" t="s">
        <v>269</v>
      </c>
    </row>
    <row r="19" spans="4:5" x14ac:dyDescent="0.25">
      <c r="D19" s="20" t="s">
        <v>592</v>
      </c>
      <c r="E19" s="20" t="s">
        <v>270</v>
      </c>
    </row>
    <row r="20" spans="4:5" x14ac:dyDescent="0.25">
      <c r="D20" s="20" t="s">
        <v>593</v>
      </c>
      <c r="E20" s="20" t="s">
        <v>271</v>
      </c>
    </row>
    <row r="21" spans="4:5" x14ac:dyDescent="0.25">
      <c r="D21" s="20" t="s">
        <v>594</v>
      </c>
      <c r="E21" s="20" t="s">
        <v>272</v>
      </c>
    </row>
    <row r="22" spans="4:5" x14ac:dyDescent="0.25">
      <c r="D22" s="20" t="s">
        <v>595</v>
      </c>
      <c r="E22" s="20" t="s">
        <v>273</v>
      </c>
    </row>
    <row r="23" spans="4:5" x14ac:dyDescent="0.25">
      <c r="D23" s="20" t="s">
        <v>596</v>
      </c>
      <c r="E23" s="20" t="s">
        <v>274</v>
      </c>
    </row>
    <row r="24" spans="4:5" x14ac:dyDescent="0.25">
      <c r="D24" s="20" t="s">
        <v>597</v>
      </c>
      <c r="E24" s="20" t="s">
        <v>275</v>
      </c>
    </row>
    <row r="25" spans="4:5" x14ac:dyDescent="0.25">
      <c r="D25" s="20" t="s">
        <v>598</v>
      </c>
      <c r="E25" s="20" t="s">
        <v>276</v>
      </c>
    </row>
    <row r="26" spans="4:5" x14ac:dyDescent="0.25">
      <c r="D26" s="20" t="s">
        <v>599</v>
      </c>
      <c r="E26" s="20" t="s">
        <v>277</v>
      </c>
    </row>
    <row r="27" spans="4:5" x14ac:dyDescent="0.25">
      <c r="D27" s="20" t="s">
        <v>600</v>
      </c>
      <c r="E27" s="20" t="s">
        <v>278</v>
      </c>
    </row>
    <row r="28" spans="4:5" x14ac:dyDescent="0.25">
      <c r="D28" s="20" t="s">
        <v>601</v>
      </c>
      <c r="E28" s="20" t="s">
        <v>279</v>
      </c>
    </row>
    <row r="29" spans="4:5" x14ac:dyDescent="0.25">
      <c r="D29" s="20" t="s">
        <v>602</v>
      </c>
      <c r="E29" s="20" t="s">
        <v>280</v>
      </c>
    </row>
    <row r="30" spans="4:5" x14ac:dyDescent="0.25">
      <c r="D30" s="20" t="s">
        <v>603</v>
      </c>
      <c r="E30" s="20" t="s">
        <v>281</v>
      </c>
    </row>
    <row r="31" spans="4:5" x14ac:dyDescent="0.25">
      <c r="D31" s="20" t="s">
        <v>604</v>
      </c>
      <c r="E31" s="20" t="s">
        <v>282</v>
      </c>
    </row>
    <row r="32" spans="4:5" x14ac:dyDescent="0.25">
      <c r="D32" s="20" t="s">
        <v>605</v>
      </c>
      <c r="E32" s="20" t="s">
        <v>283</v>
      </c>
    </row>
    <row r="33" spans="4:5" x14ac:dyDescent="0.25">
      <c r="D33" s="20" t="s">
        <v>606</v>
      </c>
      <c r="E33" s="20" t="s">
        <v>284</v>
      </c>
    </row>
    <row r="34" spans="4:5" x14ac:dyDescent="0.25">
      <c r="D34" s="20" t="s">
        <v>607</v>
      </c>
      <c r="E34" s="20" t="s">
        <v>285</v>
      </c>
    </row>
    <row r="35" spans="4:5" x14ac:dyDescent="0.25">
      <c r="D35" s="20" t="s">
        <v>608</v>
      </c>
      <c r="E35" s="20" t="s">
        <v>286</v>
      </c>
    </row>
    <row r="36" spans="4:5" x14ac:dyDescent="0.25">
      <c r="D36" s="20" t="s">
        <v>609</v>
      </c>
      <c r="E36" s="20" t="s">
        <v>287</v>
      </c>
    </row>
    <row r="37" spans="4:5" x14ac:dyDescent="0.25">
      <c r="D37" s="20" t="s">
        <v>610</v>
      </c>
      <c r="E37" s="20" t="s">
        <v>288</v>
      </c>
    </row>
    <row r="38" spans="4:5" x14ac:dyDescent="0.25">
      <c r="D38" s="20" t="s">
        <v>611</v>
      </c>
      <c r="E38" s="20" t="s">
        <v>289</v>
      </c>
    </row>
    <row r="39" spans="4:5" x14ac:dyDescent="0.25">
      <c r="D39" s="20" t="s">
        <v>612</v>
      </c>
      <c r="E39" s="20" t="s">
        <v>290</v>
      </c>
    </row>
    <row r="40" spans="4:5" x14ac:dyDescent="0.25">
      <c r="D40" s="20" t="s">
        <v>613</v>
      </c>
      <c r="E40" s="20" t="s">
        <v>291</v>
      </c>
    </row>
    <row r="41" spans="4:5" x14ac:dyDescent="0.25">
      <c r="D41" s="20" t="s">
        <v>614</v>
      </c>
      <c r="E41" s="20" t="s">
        <v>292</v>
      </c>
    </row>
    <row r="42" spans="4:5" x14ac:dyDescent="0.25">
      <c r="D42" s="20" t="s">
        <v>615</v>
      </c>
      <c r="E42" s="20" t="s">
        <v>293</v>
      </c>
    </row>
    <row r="43" spans="4:5" x14ac:dyDescent="0.25">
      <c r="D43" s="20" t="s">
        <v>616</v>
      </c>
      <c r="E43" s="20" t="s">
        <v>294</v>
      </c>
    </row>
    <row r="44" spans="4:5" x14ac:dyDescent="0.25">
      <c r="D44" s="20" t="s">
        <v>617</v>
      </c>
      <c r="E44" s="20" t="s">
        <v>295</v>
      </c>
    </row>
    <row r="45" spans="4:5" x14ac:dyDescent="0.25">
      <c r="D45" s="20" t="s">
        <v>618</v>
      </c>
      <c r="E45" s="20" t="s">
        <v>296</v>
      </c>
    </row>
    <row r="46" spans="4:5" x14ac:dyDescent="0.25">
      <c r="D46" s="20" t="s">
        <v>619</v>
      </c>
      <c r="E46" s="20" t="s">
        <v>297</v>
      </c>
    </row>
    <row r="47" spans="4:5" x14ac:dyDescent="0.25">
      <c r="D47" s="20" t="s">
        <v>620</v>
      </c>
      <c r="E47" s="20" t="s">
        <v>298</v>
      </c>
    </row>
    <row r="48" spans="4:5" x14ac:dyDescent="0.25">
      <c r="D48" s="20" t="s">
        <v>621</v>
      </c>
      <c r="E48" s="20" t="s">
        <v>299</v>
      </c>
    </row>
    <row r="49" spans="4:5" x14ac:dyDescent="0.25">
      <c r="D49" s="20" t="s">
        <v>622</v>
      </c>
      <c r="E49" s="20" t="s">
        <v>300</v>
      </c>
    </row>
    <row r="50" spans="4:5" x14ac:dyDescent="0.25">
      <c r="D50" s="20" t="s">
        <v>623</v>
      </c>
      <c r="E50" s="20" t="s">
        <v>301</v>
      </c>
    </row>
    <row r="51" spans="4:5" x14ac:dyDescent="0.25">
      <c r="D51" s="20" t="s">
        <v>624</v>
      </c>
      <c r="E51" s="20" t="s">
        <v>302</v>
      </c>
    </row>
    <row r="52" spans="4:5" x14ac:dyDescent="0.25">
      <c r="D52" s="20" t="s">
        <v>625</v>
      </c>
      <c r="E52" s="20" t="s">
        <v>303</v>
      </c>
    </row>
    <row r="53" spans="4:5" x14ac:dyDescent="0.25">
      <c r="D53" s="20" t="s">
        <v>626</v>
      </c>
      <c r="E53" s="20" t="s">
        <v>304</v>
      </c>
    </row>
    <row r="54" spans="4:5" x14ac:dyDescent="0.25">
      <c r="D54" s="20" t="s">
        <v>627</v>
      </c>
      <c r="E54" s="20" t="s">
        <v>305</v>
      </c>
    </row>
    <row r="55" spans="4:5" x14ac:dyDescent="0.25">
      <c r="D55" s="20" t="s">
        <v>628</v>
      </c>
      <c r="E55" s="20" t="s">
        <v>306</v>
      </c>
    </row>
    <row r="56" spans="4:5" x14ac:dyDescent="0.25">
      <c r="D56" s="20" t="s">
        <v>629</v>
      </c>
      <c r="E56" s="20" t="s">
        <v>307</v>
      </c>
    </row>
    <row r="57" spans="4:5" x14ac:dyDescent="0.25">
      <c r="D57" s="20" t="s">
        <v>630</v>
      </c>
      <c r="E57" s="20" t="s">
        <v>308</v>
      </c>
    </row>
    <row r="58" spans="4:5" x14ac:dyDescent="0.25">
      <c r="D58" s="20" t="s">
        <v>631</v>
      </c>
      <c r="E58" s="20" t="s">
        <v>309</v>
      </c>
    </row>
    <row r="59" spans="4:5" x14ac:dyDescent="0.25">
      <c r="D59" s="20" t="s">
        <v>632</v>
      </c>
      <c r="E59" s="20" t="s">
        <v>310</v>
      </c>
    </row>
    <row r="60" spans="4:5" x14ac:dyDescent="0.25">
      <c r="D60" s="20" t="s">
        <v>633</v>
      </c>
      <c r="E60" s="20" t="s">
        <v>311</v>
      </c>
    </row>
    <row r="61" spans="4:5" x14ac:dyDescent="0.25">
      <c r="D61" s="20" t="s">
        <v>634</v>
      </c>
      <c r="E61" s="20" t="s">
        <v>312</v>
      </c>
    </row>
    <row r="62" spans="4:5" x14ac:dyDescent="0.25">
      <c r="D62" s="20" t="s">
        <v>635</v>
      </c>
      <c r="E62" s="20" t="s">
        <v>313</v>
      </c>
    </row>
    <row r="63" spans="4:5" x14ac:dyDescent="0.25">
      <c r="D63" s="20" t="s">
        <v>636</v>
      </c>
      <c r="E63" s="20" t="s">
        <v>314</v>
      </c>
    </row>
    <row r="64" spans="4:5" x14ac:dyDescent="0.25">
      <c r="D64" s="20" t="s">
        <v>637</v>
      </c>
      <c r="E64" s="20" t="s">
        <v>315</v>
      </c>
    </row>
    <row r="65" spans="4:5" x14ac:dyDescent="0.25">
      <c r="D65" s="20" t="s">
        <v>638</v>
      </c>
      <c r="E65" s="20" t="s">
        <v>316</v>
      </c>
    </row>
    <row r="66" spans="4:5" x14ac:dyDescent="0.25">
      <c r="D66" s="20" t="s">
        <v>639</v>
      </c>
      <c r="E66" s="20" t="s">
        <v>317</v>
      </c>
    </row>
    <row r="67" spans="4:5" x14ac:dyDescent="0.25">
      <c r="D67" s="20" t="s">
        <v>640</v>
      </c>
      <c r="E67" s="20" t="s">
        <v>318</v>
      </c>
    </row>
    <row r="68" spans="4:5" x14ac:dyDescent="0.25">
      <c r="D68" s="20" t="s">
        <v>641</v>
      </c>
      <c r="E68" s="20" t="s">
        <v>319</v>
      </c>
    </row>
    <row r="69" spans="4:5" x14ac:dyDescent="0.25">
      <c r="D69" s="20" t="s">
        <v>642</v>
      </c>
      <c r="E69" s="20" t="s">
        <v>320</v>
      </c>
    </row>
    <row r="70" spans="4:5" x14ac:dyDescent="0.25">
      <c r="D70" s="20" t="s">
        <v>643</v>
      </c>
      <c r="E70" s="20" t="s">
        <v>321</v>
      </c>
    </row>
    <row r="71" spans="4:5" x14ac:dyDescent="0.25">
      <c r="D71" s="20" t="s">
        <v>644</v>
      </c>
      <c r="E71" s="20" t="s">
        <v>322</v>
      </c>
    </row>
    <row r="72" spans="4:5" x14ac:dyDescent="0.25">
      <c r="D72" s="20" t="s">
        <v>645</v>
      </c>
      <c r="E72" s="20" t="s">
        <v>323</v>
      </c>
    </row>
    <row r="73" spans="4:5" x14ac:dyDescent="0.25">
      <c r="D73" s="20" t="s">
        <v>646</v>
      </c>
      <c r="E73" s="20" t="s">
        <v>324</v>
      </c>
    </row>
    <row r="74" spans="4:5" x14ac:dyDescent="0.25">
      <c r="D74" s="20" t="s">
        <v>647</v>
      </c>
      <c r="E74" s="20" t="s">
        <v>325</v>
      </c>
    </row>
    <row r="75" spans="4:5" x14ac:dyDescent="0.25">
      <c r="D75" s="20" t="s">
        <v>648</v>
      </c>
      <c r="E75" s="20" t="s">
        <v>326</v>
      </c>
    </row>
    <row r="76" spans="4:5" x14ac:dyDescent="0.25">
      <c r="D76" s="20" t="s">
        <v>649</v>
      </c>
      <c r="E76" s="20" t="s">
        <v>327</v>
      </c>
    </row>
    <row r="77" spans="4:5" x14ac:dyDescent="0.25">
      <c r="D77" s="20" t="s">
        <v>650</v>
      </c>
      <c r="E77" s="20" t="s">
        <v>328</v>
      </c>
    </row>
    <row r="78" spans="4:5" x14ac:dyDescent="0.25">
      <c r="D78" s="20" t="s">
        <v>651</v>
      </c>
      <c r="E78" s="20" t="s">
        <v>329</v>
      </c>
    </row>
    <row r="79" spans="4:5" x14ac:dyDescent="0.25">
      <c r="D79" s="20" t="s">
        <v>652</v>
      </c>
      <c r="E79" s="20" t="s">
        <v>330</v>
      </c>
    </row>
    <row r="80" spans="4:5" x14ac:dyDescent="0.25">
      <c r="D80" s="20" t="s">
        <v>653</v>
      </c>
      <c r="E80" s="20" t="s">
        <v>331</v>
      </c>
    </row>
    <row r="81" spans="4:5" x14ac:dyDescent="0.25">
      <c r="D81" s="20" t="s">
        <v>654</v>
      </c>
      <c r="E81" s="20" t="s">
        <v>332</v>
      </c>
    </row>
    <row r="82" spans="4:5" x14ac:dyDescent="0.25">
      <c r="D82" s="20" t="s">
        <v>655</v>
      </c>
      <c r="E82" s="20" t="s">
        <v>333</v>
      </c>
    </row>
    <row r="83" spans="4:5" x14ac:dyDescent="0.25">
      <c r="D83" s="20" t="s">
        <v>656</v>
      </c>
      <c r="E83" s="20" t="s">
        <v>334</v>
      </c>
    </row>
    <row r="84" spans="4:5" x14ac:dyDescent="0.25">
      <c r="D84" s="20" t="s">
        <v>657</v>
      </c>
      <c r="E84" s="20" t="s">
        <v>335</v>
      </c>
    </row>
    <row r="85" spans="4:5" x14ac:dyDescent="0.25">
      <c r="D85" s="20" t="s">
        <v>658</v>
      </c>
      <c r="E85" s="20" t="s">
        <v>336</v>
      </c>
    </row>
    <row r="86" spans="4:5" x14ac:dyDescent="0.25">
      <c r="D86" s="20" t="s">
        <v>659</v>
      </c>
      <c r="E86" s="20" t="s">
        <v>337</v>
      </c>
    </row>
    <row r="87" spans="4:5" x14ac:dyDescent="0.25">
      <c r="D87" s="20" t="s">
        <v>660</v>
      </c>
      <c r="E87" s="20" t="s">
        <v>338</v>
      </c>
    </row>
    <row r="88" spans="4:5" x14ac:dyDescent="0.25">
      <c r="D88" s="20" t="s">
        <v>661</v>
      </c>
      <c r="E88" s="20" t="s">
        <v>339</v>
      </c>
    </row>
    <row r="89" spans="4:5" x14ac:dyDescent="0.25">
      <c r="D89" s="20" t="s">
        <v>662</v>
      </c>
      <c r="E89" s="20" t="s">
        <v>340</v>
      </c>
    </row>
    <row r="90" spans="4:5" x14ac:dyDescent="0.25">
      <c r="D90" s="20" t="s">
        <v>663</v>
      </c>
      <c r="E90" s="20" t="s">
        <v>341</v>
      </c>
    </row>
    <row r="91" spans="4:5" x14ac:dyDescent="0.25">
      <c r="D91" s="20" t="s">
        <v>664</v>
      </c>
      <c r="E91" s="20" t="s">
        <v>342</v>
      </c>
    </row>
    <row r="92" spans="4:5" x14ac:dyDescent="0.25">
      <c r="D92" s="20" t="s">
        <v>665</v>
      </c>
      <c r="E92" s="20" t="s">
        <v>343</v>
      </c>
    </row>
    <row r="93" spans="4:5" x14ac:dyDescent="0.25">
      <c r="D93" s="20" t="s">
        <v>666</v>
      </c>
      <c r="E93" s="20" t="s">
        <v>344</v>
      </c>
    </row>
    <row r="94" spans="4:5" x14ac:dyDescent="0.25">
      <c r="D94" s="20" t="s">
        <v>667</v>
      </c>
      <c r="E94" s="20" t="s">
        <v>345</v>
      </c>
    </row>
    <row r="95" spans="4:5" x14ac:dyDescent="0.25">
      <c r="D95" s="20" t="s">
        <v>668</v>
      </c>
      <c r="E95" s="20" t="s">
        <v>346</v>
      </c>
    </row>
    <row r="96" spans="4:5" x14ac:dyDescent="0.25">
      <c r="D96" s="20" t="s">
        <v>669</v>
      </c>
      <c r="E96" s="20" t="s">
        <v>347</v>
      </c>
    </row>
    <row r="97" spans="4:5" x14ac:dyDescent="0.25">
      <c r="D97" s="20" t="s">
        <v>670</v>
      </c>
      <c r="E97" s="20" t="s">
        <v>348</v>
      </c>
    </row>
    <row r="98" spans="4:5" x14ac:dyDescent="0.25">
      <c r="D98" s="20" t="s">
        <v>671</v>
      </c>
      <c r="E98" s="20" t="s">
        <v>349</v>
      </c>
    </row>
    <row r="99" spans="4:5" x14ac:dyDescent="0.25">
      <c r="D99" s="20" t="s">
        <v>672</v>
      </c>
      <c r="E99" s="20" t="s">
        <v>350</v>
      </c>
    </row>
    <row r="100" spans="4:5" x14ac:dyDescent="0.25">
      <c r="D100" s="20" t="s">
        <v>673</v>
      </c>
      <c r="E100" s="20" t="s">
        <v>351</v>
      </c>
    </row>
    <row r="101" spans="4:5" x14ac:dyDescent="0.25">
      <c r="D101" s="20" t="s">
        <v>674</v>
      </c>
      <c r="E101" s="20" t="s">
        <v>352</v>
      </c>
    </row>
    <row r="102" spans="4:5" x14ac:dyDescent="0.25">
      <c r="D102" s="20" t="s">
        <v>675</v>
      </c>
      <c r="E102" s="20" t="s">
        <v>353</v>
      </c>
    </row>
    <row r="103" spans="4:5" x14ac:dyDescent="0.25">
      <c r="D103" s="20" t="s">
        <v>676</v>
      </c>
      <c r="E103" s="20" t="s">
        <v>354</v>
      </c>
    </row>
    <row r="104" spans="4:5" x14ac:dyDescent="0.25">
      <c r="D104" s="20" t="s">
        <v>677</v>
      </c>
      <c r="E104" s="20" t="s">
        <v>355</v>
      </c>
    </row>
    <row r="105" spans="4:5" x14ac:dyDescent="0.25">
      <c r="D105" s="20" t="s">
        <v>678</v>
      </c>
      <c r="E105" s="20" t="s">
        <v>356</v>
      </c>
    </row>
    <row r="106" spans="4:5" x14ac:dyDescent="0.25">
      <c r="D106" s="20" t="s">
        <v>679</v>
      </c>
      <c r="E106" s="20" t="s">
        <v>357</v>
      </c>
    </row>
    <row r="107" spans="4:5" x14ac:dyDescent="0.25">
      <c r="D107" s="20" t="s">
        <v>680</v>
      </c>
      <c r="E107" s="20" t="s">
        <v>358</v>
      </c>
    </row>
    <row r="108" spans="4:5" x14ac:dyDescent="0.25">
      <c r="D108" s="20" t="s">
        <v>681</v>
      </c>
      <c r="E108" s="20" t="s">
        <v>359</v>
      </c>
    </row>
    <row r="109" spans="4:5" x14ac:dyDescent="0.25">
      <c r="D109" s="20" t="s">
        <v>682</v>
      </c>
      <c r="E109" s="20" t="s">
        <v>360</v>
      </c>
    </row>
    <row r="110" spans="4:5" x14ac:dyDescent="0.25">
      <c r="D110" s="20" t="s">
        <v>683</v>
      </c>
      <c r="E110" s="20" t="s">
        <v>361</v>
      </c>
    </row>
    <row r="111" spans="4:5" x14ac:dyDescent="0.25">
      <c r="D111" s="20" t="s">
        <v>684</v>
      </c>
      <c r="E111" s="20" t="s">
        <v>362</v>
      </c>
    </row>
    <row r="112" spans="4:5" x14ac:dyDescent="0.25">
      <c r="D112" s="20" t="s">
        <v>685</v>
      </c>
      <c r="E112" s="20" t="s">
        <v>363</v>
      </c>
    </row>
    <row r="113" spans="4:5" x14ac:dyDescent="0.25">
      <c r="D113" s="20" t="s">
        <v>686</v>
      </c>
      <c r="E113" s="20" t="s">
        <v>364</v>
      </c>
    </row>
    <row r="114" spans="4:5" x14ac:dyDescent="0.25">
      <c r="D114" s="20" t="s">
        <v>687</v>
      </c>
      <c r="E114" s="20" t="s">
        <v>365</v>
      </c>
    </row>
    <row r="115" spans="4:5" x14ac:dyDescent="0.25">
      <c r="D115" s="20" t="s">
        <v>688</v>
      </c>
      <c r="E115" s="20" t="s">
        <v>366</v>
      </c>
    </row>
    <row r="116" spans="4:5" x14ac:dyDescent="0.25">
      <c r="D116" s="20" t="s">
        <v>689</v>
      </c>
      <c r="E116" s="20" t="s">
        <v>367</v>
      </c>
    </row>
    <row r="117" spans="4:5" x14ac:dyDescent="0.25">
      <c r="D117" s="20" t="s">
        <v>690</v>
      </c>
      <c r="E117" s="20" t="s">
        <v>368</v>
      </c>
    </row>
    <row r="118" spans="4:5" x14ac:dyDescent="0.25">
      <c r="D118" s="20" t="s">
        <v>691</v>
      </c>
      <c r="E118" s="20" t="s">
        <v>369</v>
      </c>
    </row>
    <row r="119" spans="4:5" x14ac:dyDescent="0.25">
      <c r="D119" s="20" t="s">
        <v>692</v>
      </c>
      <c r="E119" s="20" t="s">
        <v>370</v>
      </c>
    </row>
    <row r="120" spans="4:5" x14ac:dyDescent="0.25">
      <c r="D120" s="20" t="s">
        <v>693</v>
      </c>
      <c r="E120" s="20" t="s">
        <v>371</v>
      </c>
    </row>
    <row r="121" spans="4:5" x14ac:dyDescent="0.25">
      <c r="D121" s="20" t="s">
        <v>694</v>
      </c>
      <c r="E121" s="20" t="s">
        <v>372</v>
      </c>
    </row>
    <row r="122" spans="4:5" x14ac:dyDescent="0.25">
      <c r="D122" s="20" t="s">
        <v>695</v>
      </c>
      <c r="E122" s="20" t="s">
        <v>373</v>
      </c>
    </row>
    <row r="123" spans="4:5" x14ac:dyDescent="0.25">
      <c r="D123" s="20" t="s">
        <v>696</v>
      </c>
      <c r="E123" s="20" t="s">
        <v>374</v>
      </c>
    </row>
    <row r="124" spans="4:5" x14ac:dyDescent="0.25">
      <c r="D124" s="20" t="s">
        <v>697</v>
      </c>
      <c r="E124" s="20" t="s">
        <v>375</v>
      </c>
    </row>
    <row r="125" spans="4:5" x14ac:dyDescent="0.25">
      <c r="D125" s="20" t="s">
        <v>698</v>
      </c>
      <c r="E125" s="20" t="s">
        <v>376</v>
      </c>
    </row>
    <row r="126" spans="4:5" x14ac:dyDescent="0.25">
      <c r="D126" s="20" t="s">
        <v>699</v>
      </c>
      <c r="E126" s="20" t="s">
        <v>377</v>
      </c>
    </row>
    <row r="127" spans="4:5" x14ac:dyDescent="0.25">
      <c r="D127" s="20" t="s">
        <v>700</v>
      </c>
      <c r="E127" s="20" t="s">
        <v>378</v>
      </c>
    </row>
    <row r="128" spans="4:5" x14ac:dyDescent="0.25">
      <c r="D128" s="20" t="s">
        <v>701</v>
      </c>
      <c r="E128" s="20" t="s">
        <v>379</v>
      </c>
    </row>
    <row r="129" spans="4:5" x14ac:dyDescent="0.25">
      <c r="D129" s="20" t="s">
        <v>702</v>
      </c>
      <c r="E129" s="20" t="s">
        <v>380</v>
      </c>
    </row>
    <row r="130" spans="4:5" x14ac:dyDescent="0.25">
      <c r="D130" s="20" t="s">
        <v>703</v>
      </c>
      <c r="E130" s="20" t="s">
        <v>381</v>
      </c>
    </row>
    <row r="131" spans="4:5" x14ac:dyDescent="0.25">
      <c r="D131" s="20" t="s">
        <v>704</v>
      </c>
      <c r="E131" s="20" t="s">
        <v>382</v>
      </c>
    </row>
    <row r="132" spans="4:5" x14ac:dyDescent="0.25">
      <c r="D132" s="20" t="s">
        <v>705</v>
      </c>
      <c r="E132" s="20" t="s">
        <v>383</v>
      </c>
    </row>
    <row r="133" spans="4:5" x14ac:dyDescent="0.25">
      <c r="D133" s="20" t="s">
        <v>706</v>
      </c>
      <c r="E133" s="20" t="s">
        <v>384</v>
      </c>
    </row>
    <row r="134" spans="4:5" x14ac:dyDescent="0.25">
      <c r="D134" s="20" t="s">
        <v>707</v>
      </c>
      <c r="E134" s="20" t="s">
        <v>385</v>
      </c>
    </row>
    <row r="135" spans="4:5" x14ac:dyDescent="0.25">
      <c r="D135" s="20" t="s">
        <v>708</v>
      </c>
      <c r="E135" s="20" t="s">
        <v>386</v>
      </c>
    </row>
    <row r="136" spans="4:5" x14ac:dyDescent="0.25">
      <c r="D136" s="20" t="s">
        <v>709</v>
      </c>
      <c r="E136" s="20" t="s">
        <v>387</v>
      </c>
    </row>
    <row r="137" spans="4:5" x14ac:dyDescent="0.25">
      <c r="D137" s="20" t="s">
        <v>710</v>
      </c>
      <c r="E137" s="20" t="s">
        <v>388</v>
      </c>
    </row>
    <row r="138" spans="4:5" x14ac:dyDescent="0.25">
      <c r="D138" s="20" t="s">
        <v>711</v>
      </c>
      <c r="E138" s="20" t="s">
        <v>389</v>
      </c>
    </row>
    <row r="139" spans="4:5" x14ac:dyDescent="0.25">
      <c r="D139" s="20" t="s">
        <v>712</v>
      </c>
      <c r="E139" s="20" t="s">
        <v>390</v>
      </c>
    </row>
    <row r="140" spans="4:5" x14ac:dyDescent="0.25">
      <c r="D140" s="20" t="s">
        <v>713</v>
      </c>
      <c r="E140" s="20" t="s">
        <v>391</v>
      </c>
    </row>
    <row r="141" spans="4:5" x14ac:dyDescent="0.25">
      <c r="D141" s="20" t="s">
        <v>714</v>
      </c>
      <c r="E141" s="20" t="s">
        <v>392</v>
      </c>
    </row>
    <row r="142" spans="4:5" x14ac:dyDescent="0.25">
      <c r="D142" s="20" t="s">
        <v>715</v>
      </c>
      <c r="E142" s="20" t="s">
        <v>393</v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315018-458F-4256-A3DA-DA1648A98D30}">
  <ds:schemaRefs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152</vt:i4>
      </vt:variant>
    </vt:vector>
  </HeadingPairs>
  <TitlesOfParts>
    <vt:vector size="158" baseType="lpstr">
      <vt:lpstr>BASE BID</vt:lpstr>
      <vt:lpstr>Dashboard</vt:lpstr>
      <vt:lpstr>Data for Dashboard</vt:lpstr>
      <vt:lpstr>COST SUMMARY</vt:lpstr>
      <vt:lpstr>HOURLY RATES</vt:lpstr>
      <vt:lpstr>Data for Rough Cost</vt:lpstr>
      <vt:lpstr>Average</vt:lpstr>
      <vt:lpstr>Average1</vt:lpstr>
      <vt:lpstr>Average10</vt:lpstr>
      <vt:lpstr>Average11</vt:lpstr>
      <vt:lpstr>Average12</vt:lpstr>
      <vt:lpstr>Average2</vt:lpstr>
      <vt:lpstr>Average3</vt:lpstr>
      <vt:lpstr>Average4</vt:lpstr>
      <vt:lpstr>Average5</vt:lpstr>
      <vt:lpstr>Average6</vt:lpstr>
      <vt:lpstr>Average7</vt:lpstr>
      <vt:lpstr>Average8</vt:lpstr>
      <vt:lpstr>Average9</vt:lpstr>
      <vt:lpstr>Categories</vt:lpstr>
      <vt:lpstr>Commercial</vt:lpstr>
      <vt:lpstr>Custom</vt:lpstr>
      <vt:lpstr>Custom1</vt:lpstr>
      <vt:lpstr>Custom10</vt:lpstr>
      <vt:lpstr>Custom2</vt:lpstr>
      <vt:lpstr>Custom3</vt:lpstr>
      <vt:lpstr>Custom4</vt:lpstr>
      <vt:lpstr>Custom5</vt:lpstr>
      <vt:lpstr>Custom6</vt:lpstr>
      <vt:lpstr>Custom7</vt:lpstr>
      <vt:lpstr>Custom8</vt:lpstr>
      <vt:lpstr>Custom9</vt:lpstr>
      <vt:lpstr>Default</vt:lpstr>
      <vt:lpstr>Default1</vt:lpstr>
      <vt:lpstr>Default10</vt:lpstr>
      <vt:lpstr>Default100</vt:lpstr>
      <vt:lpstr>Default101</vt:lpstr>
      <vt:lpstr>Default11</vt:lpstr>
      <vt:lpstr>Default12</vt:lpstr>
      <vt:lpstr>Default13</vt:lpstr>
      <vt:lpstr>Default14</vt:lpstr>
      <vt:lpstr>Default15</vt:lpstr>
      <vt:lpstr>Default16</vt:lpstr>
      <vt:lpstr>Default17</vt:lpstr>
      <vt:lpstr>Default18</vt:lpstr>
      <vt:lpstr>Default19</vt:lpstr>
      <vt:lpstr>Default2</vt:lpstr>
      <vt:lpstr>Default20</vt:lpstr>
      <vt:lpstr>Default21</vt:lpstr>
      <vt:lpstr>Default22</vt:lpstr>
      <vt:lpstr>Default23</vt:lpstr>
      <vt:lpstr>Default24</vt:lpstr>
      <vt:lpstr>Default25</vt:lpstr>
      <vt:lpstr>Default26</vt:lpstr>
      <vt:lpstr>Default27</vt:lpstr>
      <vt:lpstr>Default28</vt:lpstr>
      <vt:lpstr>Default29</vt:lpstr>
      <vt:lpstr>Default3</vt:lpstr>
      <vt:lpstr>Default30</vt:lpstr>
      <vt:lpstr>Default31</vt:lpstr>
      <vt:lpstr>Default32</vt:lpstr>
      <vt:lpstr>Default33</vt:lpstr>
      <vt:lpstr>Default34</vt:lpstr>
      <vt:lpstr>Default35</vt:lpstr>
      <vt:lpstr>Default36</vt:lpstr>
      <vt:lpstr>Default37</vt:lpstr>
      <vt:lpstr>Default38</vt:lpstr>
      <vt:lpstr>Default39</vt:lpstr>
      <vt:lpstr>Default4</vt:lpstr>
      <vt:lpstr>Default40</vt:lpstr>
      <vt:lpstr>Default41</vt:lpstr>
      <vt:lpstr>Default42</vt:lpstr>
      <vt:lpstr>Default43</vt:lpstr>
      <vt:lpstr>Default44</vt:lpstr>
      <vt:lpstr>Default45</vt:lpstr>
      <vt:lpstr>Default46</vt:lpstr>
      <vt:lpstr>Default47</vt:lpstr>
      <vt:lpstr>Default48</vt:lpstr>
      <vt:lpstr>Default49</vt:lpstr>
      <vt:lpstr>Default5</vt:lpstr>
      <vt:lpstr>Default50</vt:lpstr>
      <vt:lpstr>Default51</vt:lpstr>
      <vt:lpstr>Default52</vt:lpstr>
      <vt:lpstr>Default53</vt:lpstr>
      <vt:lpstr>Default54</vt:lpstr>
      <vt:lpstr>Default55</vt:lpstr>
      <vt:lpstr>Default56</vt:lpstr>
      <vt:lpstr>Default57</vt:lpstr>
      <vt:lpstr>Default58</vt:lpstr>
      <vt:lpstr>Default59</vt:lpstr>
      <vt:lpstr>Default6</vt:lpstr>
      <vt:lpstr>Default60</vt:lpstr>
      <vt:lpstr>Default61</vt:lpstr>
      <vt:lpstr>Default62</vt:lpstr>
      <vt:lpstr>Default63</vt:lpstr>
      <vt:lpstr>Default64</vt:lpstr>
      <vt:lpstr>Default65</vt:lpstr>
      <vt:lpstr>Default66</vt:lpstr>
      <vt:lpstr>Default67</vt:lpstr>
      <vt:lpstr>Default68</vt:lpstr>
      <vt:lpstr>Default69</vt:lpstr>
      <vt:lpstr>Default7</vt:lpstr>
      <vt:lpstr>Default70</vt:lpstr>
      <vt:lpstr>Default71</vt:lpstr>
      <vt:lpstr>Default72</vt:lpstr>
      <vt:lpstr>Default73</vt:lpstr>
      <vt:lpstr>Default74</vt:lpstr>
      <vt:lpstr>Default75</vt:lpstr>
      <vt:lpstr>Default76</vt:lpstr>
      <vt:lpstr>Default77</vt:lpstr>
      <vt:lpstr>Default78</vt:lpstr>
      <vt:lpstr>Default79</vt:lpstr>
      <vt:lpstr>Default8</vt:lpstr>
      <vt:lpstr>Default80</vt:lpstr>
      <vt:lpstr>Default81</vt:lpstr>
      <vt:lpstr>Default82</vt:lpstr>
      <vt:lpstr>Default83</vt:lpstr>
      <vt:lpstr>Default84</vt:lpstr>
      <vt:lpstr>Default85</vt:lpstr>
      <vt:lpstr>Default86</vt:lpstr>
      <vt:lpstr>Default87</vt:lpstr>
      <vt:lpstr>Default88</vt:lpstr>
      <vt:lpstr>Default89</vt:lpstr>
      <vt:lpstr>Default9</vt:lpstr>
      <vt:lpstr>Default90</vt:lpstr>
      <vt:lpstr>Default91</vt:lpstr>
      <vt:lpstr>Default92</vt:lpstr>
      <vt:lpstr>Default93</vt:lpstr>
      <vt:lpstr>Default94</vt:lpstr>
      <vt:lpstr>Default95</vt:lpstr>
      <vt:lpstr>Default96</vt:lpstr>
      <vt:lpstr>Default97</vt:lpstr>
      <vt:lpstr>Default98</vt:lpstr>
      <vt:lpstr>Default99</vt:lpstr>
      <vt:lpstr>Economy</vt:lpstr>
      <vt:lpstr>Economy1</vt:lpstr>
      <vt:lpstr>Economy2</vt:lpstr>
      <vt:lpstr>Economy3</vt:lpstr>
      <vt:lpstr>Economy4</vt:lpstr>
      <vt:lpstr>Economy5</vt:lpstr>
      <vt:lpstr>Economy6</vt:lpstr>
      <vt:lpstr>Economy7</vt:lpstr>
      <vt:lpstr>Economy8</vt:lpstr>
      <vt:lpstr>Luxury</vt:lpstr>
      <vt:lpstr>Luxury1</vt:lpstr>
      <vt:lpstr>Luxury10</vt:lpstr>
      <vt:lpstr>Luxury2</vt:lpstr>
      <vt:lpstr>Luxury3</vt:lpstr>
      <vt:lpstr>Luxury4</vt:lpstr>
      <vt:lpstr>Luxury5</vt:lpstr>
      <vt:lpstr>Luxury6</vt:lpstr>
      <vt:lpstr>Luxury7</vt:lpstr>
      <vt:lpstr>Luxury8</vt:lpstr>
      <vt:lpstr>Luxury9</vt:lpstr>
      <vt:lpstr>'BASE BID'!Print_Area</vt:lpstr>
      <vt:lpstr>'COST SUMMARY'!Print_Area</vt:lpstr>
      <vt:lpstr>'BASE BID'!Print_Titles</vt:lpstr>
      <vt:lpstr>Residential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2013-07-08T09:36:48Z</dcterms:created>
  <dcterms:modified xsi:type="dcterms:W3CDTF">2026-06-01T15:14:50Z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S9Connected">
    <vt:bool>true</vt:bool>
  </property>
  <property fmtid="{D5CDD505-2E9C-101B-9397-08002B2CF9AE}" pid="3" name="PlanSwiftJobName">
    <vt:lpwstr/>
  </property>
  <property fmtid="{D5CDD505-2E9C-101B-9397-08002B2CF9AE}" pid="4" name="PlanSwiftJobGuid">
    <vt:lpwstr/>
  </property>
  <property fmtid="{D5CDD505-2E9C-101B-9397-08002B2CF9AE}" pid="5" name="LinkedDataId">
    <vt:lpwstr>{38315018-458F-4256-A3DA-DA1648A98D30}</vt:lpwstr>
  </property>
</Properties>
</file>